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055" windowHeight="5100" tabRatio="864" activeTab="20"/>
  </bookViews>
  <sheets>
    <sheet name="C1" sheetId="1" r:id="rId1"/>
    <sheet name="C2a" sheetId="5" r:id="rId2"/>
    <sheet name="C2b" sheetId="6" r:id="rId3"/>
    <sheet name="C3" sheetId="7" r:id="rId4"/>
    <sheet name="C4" sheetId="8" r:id="rId5"/>
    <sheet name="C5" sheetId="9" r:id="rId6"/>
    <sheet name="C6A" sheetId="10" r:id="rId7"/>
    <sheet name="C6B" sheetId="19" r:id="rId8"/>
    <sheet name="C6C" sheetId="23" r:id="rId9"/>
    <sheet name="C6D" sheetId="24" r:id="rId10"/>
    <sheet name="C6E" sheetId="25" r:id="rId11"/>
    <sheet name="C6F" sheetId="26" r:id="rId12"/>
    <sheet name="C7" sheetId="16" r:id="rId13"/>
    <sheet name="C8" sheetId="17" r:id="rId14"/>
    <sheet name="C9" sheetId="18" r:id="rId15"/>
    <sheet name="C10" sheetId="3" r:id="rId16"/>
    <sheet name="C11" sheetId="27" r:id="rId17"/>
    <sheet name="C12" sheetId="28" r:id="rId18"/>
    <sheet name="C13" sheetId="29" r:id="rId19"/>
    <sheet name="C14" sheetId="30" r:id="rId20"/>
    <sheet name="C15" sheetId="31" r:id="rId21"/>
  </sheets>
  <externalReferences>
    <externalReference r:id="rId22"/>
  </externalReferences>
  <calcPr calcId="125725"/>
</workbook>
</file>

<file path=xl/calcChain.xml><?xml version="1.0" encoding="utf-8"?>
<calcChain xmlns="http://schemas.openxmlformats.org/spreadsheetml/2006/main">
  <c r="C17" i="18"/>
  <c r="C16"/>
  <c r="C11" i="5"/>
  <c r="E10"/>
  <c r="C37"/>
  <c r="C18" i="18"/>
  <c r="E9" i="6"/>
  <c r="D19" i="17" l="1"/>
  <c r="D16"/>
  <c r="D17"/>
  <c r="D15"/>
  <c r="D14"/>
  <c r="E14"/>
  <c r="F14"/>
  <c r="G14"/>
  <c r="H14"/>
  <c r="C14"/>
  <c r="D12"/>
  <c r="E12"/>
  <c r="F12"/>
  <c r="G12"/>
  <c r="H12"/>
  <c r="C12"/>
  <c r="D11"/>
  <c r="E11"/>
  <c r="F11"/>
  <c r="G11"/>
  <c r="H11"/>
  <c r="C11"/>
  <c r="D10"/>
  <c r="E10"/>
  <c r="F10"/>
  <c r="G10"/>
  <c r="H10"/>
  <c r="C10"/>
  <c r="D19" i="16"/>
  <c r="D16"/>
  <c r="D17"/>
  <c r="D15"/>
  <c r="D14"/>
  <c r="E14"/>
  <c r="F14"/>
  <c r="G14"/>
  <c r="H14"/>
  <c r="C14"/>
  <c r="D12"/>
  <c r="E12"/>
  <c r="F12"/>
  <c r="G12"/>
  <c r="H12"/>
  <c r="C12"/>
  <c r="D11"/>
  <c r="E11"/>
  <c r="F11"/>
  <c r="G11"/>
  <c r="H11"/>
  <c r="C11"/>
  <c r="D10"/>
  <c r="E10"/>
  <c r="F10"/>
  <c r="G10"/>
  <c r="H10"/>
  <c r="C10"/>
  <c r="M5" i="30"/>
  <c r="L5"/>
  <c r="K5"/>
  <c r="J5"/>
  <c r="I5"/>
  <c r="H5"/>
  <c r="G5"/>
  <c r="F5"/>
  <c r="E5"/>
  <c r="D5"/>
  <c r="C5"/>
  <c r="B5"/>
  <c r="N5"/>
  <c r="D20" i="17" l="1"/>
  <c r="C7" i="18"/>
  <c r="G31" i="19"/>
  <c r="G31" i="23" s="1"/>
  <c r="G31" i="24" s="1"/>
  <c r="G31" i="25" s="1"/>
  <c r="G9" i="10"/>
  <c r="G9" i="23" s="1"/>
  <c r="G9" i="24" s="1"/>
  <c r="G9" i="25" s="1"/>
  <c r="G10" i="10"/>
  <c r="G10" i="23" s="1"/>
  <c r="G10" i="24" s="1"/>
  <c r="G10" i="25" s="1"/>
  <c r="G11" i="10"/>
  <c r="G11" i="23" s="1"/>
  <c r="G11" i="24" s="1"/>
  <c r="G11" i="25" s="1"/>
  <c r="G12" i="10"/>
  <c r="G12" i="23" s="1"/>
  <c r="G12" i="24" s="1"/>
  <c r="G12" i="25" s="1"/>
  <c r="G13" i="10"/>
  <c r="G13" i="23" s="1"/>
  <c r="G13" i="24" s="1"/>
  <c r="G13" i="25" s="1"/>
  <c r="G14" i="10"/>
  <c r="G14" i="23" s="1"/>
  <c r="G14" i="24" s="1"/>
  <c r="G14" i="25" s="1"/>
  <c r="G15" i="10"/>
  <c r="G15" i="23" s="1"/>
  <c r="G15" i="24" s="1"/>
  <c r="G15" i="25" s="1"/>
  <c r="G16" i="10"/>
  <c r="G16" i="23" s="1"/>
  <c r="G16" i="24" s="1"/>
  <c r="G16" i="25" s="1"/>
  <c r="G17" i="10"/>
  <c r="G17" i="23" s="1"/>
  <c r="G17" i="24" s="1"/>
  <c r="G17" i="25" s="1"/>
  <c r="G18" i="10"/>
  <c r="G18" i="23" s="1"/>
  <c r="G18" i="24" s="1"/>
  <c r="G18" i="25" s="1"/>
  <c r="G19" i="10"/>
  <c r="G19" i="23" s="1"/>
  <c r="G19" i="24" s="1"/>
  <c r="G19" i="25" s="1"/>
  <c r="G20" i="10"/>
  <c r="G20" i="23" s="1"/>
  <c r="G20" i="24" s="1"/>
  <c r="G20" i="25" s="1"/>
  <c r="G21" i="10"/>
  <c r="G21" i="23" s="1"/>
  <c r="G21" i="24" s="1"/>
  <c r="G21" i="25" s="1"/>
  <c r="G22" i="10"/>
  <c r="G22" i="23" s="1"/>
  <c r="G22" i="24" s="1"/>
  <c r="G22" i="25" s="1"/>
  <c r="G23" i="10"/>
  <c r="G23" i="23" s="1"/>
  <c r="G23" i="24" s="1"/>
  <c r="G23" i="25" s="1"/>
  <c r="G24" i="10"/>
  <c r="G24" i="23" s="1"/>
  <c r="G24" i="24" s="1"/>
  <c r="G24" i="25" s="1"/>
  <c r="G25" i="10"/>
  <c r="G25" i="23" s="1"/>
  <c r="G25" i="24" s="1"/>
  <c r="G25" i="25" s="1"/>
  <c r="G26" i="10"/>
  <c r="G26" i="23" s="1"/>
  <c r="G26" i="24" s="1"/>
  <c r="G26" i="25" s="1"/>
  <c r="G27" i="10"/>
  <c r="G27" i="23" s="1"/>
  <c r="G27" i="24" s="1"/>
  <c r="G27" i="25" s="1"/>
  <c r="G28" i="10"/>
  <c r="G28" i="23" s="1"/>
  <c r="G28" i="24" s="1"/>
  <c r="G28" i="25" s="1"/>
  <c r="G29" i="10"/>
  <c r="G29" i="23" s="1"/>
  <c r="G29" i="24" s="1"/>
  <c r="G29" i="25" s="1"/>
  <c r="G30" i="10"/>
  <c r="G30" i="23" s="1"/>
  <c r="G30" i="24" s="1"/>
  <c r="G30" i="25" s="1"/>
  <c r="G8" i="10"/>
  <c r="G8" i="23" s="1"/>
  <c r="G8" i="24" s="1"/>
  <c r="G8" i="25" s="1"/>
  <c r="D16" i="1"/>
  <c r="D17"/>
  <c r="D5" i="18"/>
  <c r="D13" l="1"/>
  <c r="D15"/>
  <c r="D14"/>
  <c r="D7"/>
  <c r="D12"/>
  <c r="D11"/>
  <c r="D10"/>
  <c r="D9"/>
  <c r="D8"/>
  <c r="G8" i="19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H8" i="10"/>
  <c r="I8" s="1"/>
  <c r="J8" s="1"/>
  <c r="F8"/>
  <c r="E8"/>
  <c r="E13"/>
  <c r="E12"/>
  <c r="E24"/>
  <c r="E17"/>
  <c r="E19"/>
  <c r="E15"/>
  <c r="E18"/>
  <c r="E16"/>
  <c r="E25"/>
  <c r="E26"/>
  <c r="E20"/>
  <c r="E22"/>
  <c r="E14"/>
  <c r="E21"/>
  <c r="E23"/>
  <c r="F23" i="7"/>
  <c r="G23" i="31"/>
  <c r="F23"/>
  <c r="E23"/>
  <c r="D23"/>
  <c r="C23"/>
  <c r="C8"/>
  <c r="N22" i="30"/>
  <c r="F8" i="29"/>
  <c r="E8"/>
  <c r="D8"/>
  <c r="C8"/>
  <c r="S20" i="7"/>
  <c r="R19"/>
  <c r="Q17"/>
  <c r="F17"/>
  <c r="G17"/>
  <c r="H17"/>
  <c r="I17"/>
  <c r="J17"/>
  <c r="K17"/>
  <c r="L17"/>
  <c r="M17"/>
  <c r="N17"/>
  <c r="O17"/>
  <c r="P17"/>
  <c r="G24"/>
  <c r="G26" s="1"/>
  <c r="J24"/>
  <c r="J26" s="1"/>
  <c r="M24"/>
  <c r="M26" s="1"/>
  <c r="N24"/>
  <c r="P24"/>
  <c r="P26" s="1"/>
  <c r="G23"/>
  <c r="J23"/>
  <c r="M23"/>
  <c r="N23"/>
  <c r="P23"/>
  <c r="D23"/>
  <c r="B5" i="29"/>
  <c r="E31" i="10"/>
  <c r="E28"/>
  <c r="R26"/>
  <c r="R20"/>
  <c r="R21"/>
  <c r="R22"/>
  <c r="R23"/>
  <c r="R24"/>
  <c r="R25"/>
  <c r="P20"/>
  <c r="E27"/>
  <c r="N26"/>
  <c r="N21"/>
  <c r="M26"/>
  <c r="O26"/>
  <c r="P21"/>
  <c r="Q21" s="1"/>
  <c r="P22"/>
  <c r="Q22" s="1"/>
  <c r="P23"/>
  <c r="Q23" s="1"/>
  <c r="P24"/>
  <c r="Q24" s="1"/>
  <c r="P25"/>
  <c r="Q25" s="1"/>
  <c r="P26"/>
  <c r="B5" i="28"/>
  <c r="C5" i="27"/>
  <c r="B14"/>
  <c r="B13"/>
  <c r="E21" i="3"/>
  <c r="C22"/>
  <c r="C21"/>
  <c r="E22"/>
  <c r="C28" i="5"/>
  <c r="C36"/>
  <c r="E36"/>
  <c r="E37"/>
  <c r="E27"/>
  <c r="C18" i="26"/>
  <c r="D29" i="25"/>
  <c r="D29" i="24"/>
  <c r="D29" i="23"/>
  <c r="D16" i="19"/>
  <c r="D16" i="25" s="1"/>
  <c r="D15" i="19"/>
  <c r="D15" i="25" s="1"/>
  <c r="D14" i="19"/>
  <c r="D14" i="25" s="1"/>
  <c r="D13" i="19"/>
  <c r="D13" i="25" s="1"/>
  <c r="D12" i="19"/>
  <c r="D12" i="25" s="1"/>
  <c r="D11" i="19"/>
  <c r="D11" i="25" s="1"/>
  <c r="D10" i="19"/>
  <c r="D10" i="25" s="1"/>
  <c r="D9" i="19"/>
  <c r="D9" i="25" s="1"/>
  <c r="D8" i="19"/>
  <c r="D8" i="25" s="1"/>
  <c r="D17" i="19"/>
  <c r="D17" i="25" s="1"/>
  <c r="C35" i="19"/>
  <c r="E29"/>
  <c r="H29" s="1"/>
  <c r="D31"/>
  <c r="D31" i="25" s="1"/>
  <c r="D43" s="1"/>
  <c r="D30" i="19"/>
  <c r="D30" i="25" s="1"/>
  <c r="D28" i="19"/>
  <c r="D28" i="25" s="1"/>
  <c r="D27" i="19"/>
  <c r="D27" i="25" s="1"/>
  <c r="D26" i="19"/>
  <c r="D26" i="25" s="1"/>
  <c r="D25" i="19"/>
  <c r="D25" i="25" s="1"/>
  <c r="D24" i="19"/>
  <c r="D24" i="25" s="1"/>
  <c r="D23" i="19"/>
  <c r="D23" i="25" s="1"/>
  <c r="D22" i="19"/>
  <c r="D22" i="25" s="1"/>
  <c r="D21" i="19"/>
  <c r="D21" i="25" s="1"/>
  <c r="D20" i="19"/>
  <c r="D20" i="25" s="1"/>
  <c r="D19" i="19"/>
  <c r="D19" i="25" s="1"/>
  <c r="D18" i="19"/>
  <c r="D18" i="25" s="1"/>
  <c r="D38" s="1"/>
  <c r="D43" i="19"/>
  <c r="D42"/>
  <c r="D44" s="1"/>
  <c r="C38"/>
  <c r="C37"/>
  <c r="C36"/>
  <c r="C39"/>
  <c r="D32"/>
  <c r="E30" i="10"/>
  <c r="E31" i="19" s="1"/>
  <c r="D42" i="10"/>
  <c r="D41"/>
  <c r="E29"/>
  <c r="E30" i="19" s="1"/>
  <c r="E19"/>
  <c r="E15"/>
  <c r="E15" i="23" s="1"/>
  <c r="F17" i="10"/>
  <c r="H19"/>
  <c r="E18" i="19"/>
  <c r="E28"/>
  <c r="H18" i="10"/>
  <c r="E11"/>
  <c r="F11" s="1"/>
  <c r="E10"/>
  <c r="F10" s="1"/>
  <c r="E9"/>
  <c r="F9" s="1"/>
  <c r="E26" i="5"/>
  <c r="R26"/>
  <c r="E25"/>
  <c r="R25"/>
  <c r="E26" i="19"/>
  <c r="E22"/>
  <c r="B18" i="8"/>
  <c r="B17"/>
  <c r="B16"/>
  <c r="C34" i="10"/>
  <c r="C35"/>
  <c r="C36"/>
  <c r="C37"/>
  <c r="E27" i="19"/>
  <c r="E20"/>
  <c r="E25"/>
  <c r="E24"/>
  <c r="D31" i="10"/>
  <c r="E23" i="19"/>
  <c r="E21"/>
  <c r="H20" i="10"/>
  <c r="H21"/>
  <c r="H22"/>
  <c r="H23"/>
  <c r="H24"/>
  <c r="H25"/>
  <c r="H26"/>
  <c r="H27"/>
  <c r="H28"/>
  <c r="H29"/>
  <c r="I29" s="1"/>
  <c r="J29" s="1"/>
  <c r="F16"/>
  <c r="F14"/>
  <c r="F13"/>
  <c r="F12"/>
  <c r="J29" i="6"/>
  <c r="J28"/>
  <c r="J27"/>
  <c r="J26"/>
  <c r="J25"/>
  <c r="J24"/>
  <c r="J23"/>
  <c r="J22"/>
  <c r="J21"/>
  <c r="J20"/>
  <c r="J19"/>
  <c r="J18"/>
  <c r="J17"/>
  <c r="J16"/>
  <c r="J30" s="1"/>
  <c r="E23" i="5"/>
  <c r="R23"/>
  <c r="D21" i="17"/>
  <c r="D43" i="10"/>
  <c r="C38"/>
  <c r="E52" i="9"/>
  <c r="B11"/>
  <c r="S21" i="7"/>
  <c r="R21"/>
  <c r="E21"/>
  <c r="T21" s="1"/>
  <c r="H18" i="8"/>
  <c r="G18"/>
  <c r="F18"/>
  <c r="E18"/>
  <c r="D18"/>
  <c r="D38" i="6"/>
  <c r="S19" i="7"/>
  <c r="S22"/>
  <c r="S25"/>
  <c r="R20"/>
  <c r="S23"/>
  <c r="E20"/>
  <c r="T20" s="1"/>
  <c r="E19"/>
  <c r="H38" i="5"/>
  <c r="K38"/>
  <c r="N38"/>
  <c r="Q38"/>
  <c r="H11" i="6"/>
  <c r="K11"/>
  <c r="N11"/>
  <c r="Q11"/>
  <c r="E10"/>
  <c r="B9" i="8" s="1"/>
  <c r="D9" s="1"/>
  <c r="R15" i="5"/>
  <c r="R9"/>
  <c r="C10"/>
  <c r="E17"/>
  <c r="R17" s="1"/>
  <c r="E18"/>
  <c r="R18" s="1"/>
  <c r="E19"/>
  <c r="R19" s="1"/>
  <c r="E20"/>
  <c r="R20" s="1"/>
  <c r="E21"/>
  <c r="R21" s="1"/>
  <c r="E22"/>
  <c r="R22" s="1"/>
  <c r="E24"/>
  <c r="R24" s="1"/>
  <c r="E28"/>
  <c r="R28" s="1"/>
  <c r="E29"/>
  <c r="R29" s="1"/>
  <c r="E30"/>
  <c r="R30" s="1"/>
  <c r="E31"/>
  <c r="R31" s="1"/>
  <c r="E32"/>
  <c r="R32" s="1"/>
  <c r="E33"/>
  <c r="R33" s="1"/>
  <c r="E34"/>
  <c r="R34" s="1"/>
  <c r="E16"/>
  <c r="R16" s="1"/>
  <c r="E11"/>
  <c r="R11" s="1"/>
  <c r="E12"/>
  <c r="R12" s="1"/>
  <c r="E13"/>
  <c r="R13" s="1"/>
  <c r="E14"/>
  <c r="R14" s="1"/>
  <c r="R10"/>
  <c r="H17" i="8"/>
  <c r="G17"/>
  <c r="F17"/>
  <c r="E17"/>
  <c r="H16"/>
  <c r="G16"/>
  <c r="F16"/>
  <c r="F15" i="1"/>
  <c r="D15"/>
  <c r="D19" s="1"/>
  <c r="E15"/>
  <c r="G15"/>
  <c r="H15"/>
  <c r="F16"/>
  <c r="G16"/>
  <c r="H16"/>
  <c r="D16" i="18" l="1"/>
  <c r="D17"/>
  <c r="B9" i="28" s="1"/>
  <c r="H17" i="1"/>
  <c r="H16" i="17"/>
  <c r="H16" i="16"/>
  <c r="G17" i="1"/>
  <c r="G16" i="17"/>
  <c r="G16" i="16"/>
  <c r="F17" i="1"/>
  <c r="F16" i="17"/>
  <c r="F16" i="16"/>
  <c r="H15" i="17"/>
  <c r="H15" i="16"/>
  <c r="G15" i="17"/>
  <c r="G15" i="16"/>
  <c r="E16" i="1"/>
  <c r="E15" i="17"/>
  <c r="E15" i="16"/>
  <c r="F15" i="17"/>
  <c r="F15" i="16"/>
  <c r="I28" i="10"/>
  <c r="J28" s="1"/>
  <c r="I27"/>
  <c r="J27" s="1"/>
  <c r="Q20"/>
  <c r="Q26" s="1"/>
  <c r="H15"/>
  <c r="H30"/>
  <c r="I30" s="1"/>
  <c r="B13" i="8"/>
  <c r="D13" s="1"/>
  <c r="E13" s="1"/>
  <c r="F13" s="1"/>
  <c r="G13" s="1"/>
  <c r="H13" s="1"/>
  <c r="C6" i="3"/>
  <c r="F28" i="19"/>
  <c r="C14" i="7"/>
  <c r="C16"/>
  <c r="R16" s="1"/>
  <c r="D16"/>
  <c r="S16" s="1"/>
  <c r="F30" i="10"/>
  <c r="E42" s="1"/>
  <c r="C8" i="26" s="1"/>
  <c r="F29" i="10"/>
  <c r="F28"/>
  <c r="F27"/>
  <c r="F26"/>
  <c r="I26" s="1"/>
  <c r="J26" s="1"/>
  <c r="F25"/>
  <c r="I25" s="1"/>
  <c r="J25" s="1"/>
  <c r="F24"/>
  <c r="I24" s="1"/>
  <c r="J24" s="1"/>
  <c r="F23"/>
  <c r="I23" s="1"/>
  <c r="F22"/>
  <c r="I22" s="1"/>
  <c r="J22" s="1"/>
  <c r="F21"/>
  <c r="I21" s="1"/>
  <c r="J21" s="1"/>
  <c r="F20"/>
  <c r="I20" s="1"/>
  <c r="J20" s="1"/>
  <c r="F19"/>
  <c r="I19" s="1"/>
  <c r="J19" s="1"/>
  <c r="F18"/>
  <c r="I18" s="1"/>
  <c r="F15"/>
  <c r="F31" i="19"/>
  <c r="E43" s="1"/>
  <c r="D8" i="26" s="1"/>
  <c r="F30" i="19"/>
  <c r="F29"/>
  <c r="I29" s="1"/>
  <c r="J29" s="1"/>
  <c r="F27"/>
  <c r="F26"/>
  <c r="F25"/>
  <c r="F24"/>
  <c r="F23"/>
  <c r="F22"/>
  <c r="F21"/>
  <c r="F20"/>
  <c r="F19"/>
  <c r="F18"/>
  <c r="F15"/>
  <c r="E8"/>
  <c r="H12" i="10"/>
  <c r="E12" i="19"/>
  <c r="F12" s="1"/>
  <c r="H13" i="10"/>
  <c r="E13" i="19"/>
  <c r="F13" s="1"/>
  <c r="H14" i="10"/>
  <c r="E14" i="19"/>
  <c r="F14" s="1"/>
  <c r="H16" i="10"/>
  <c r="I16" s="1"/>
  <c r="E16" i="19"/>
  <c r="F16" s="1"/>
  <c r="E21" i="23"/>
  <c r="H21" i="19"/>
  <c r="E23" i="23"/>
  <c r="H23" i="19"/>
  <c r="E24" i="23"/>
  <c r="H24" i="19"/>
  <c r="E25" i="23"/>
  <c r="H25" i="19"/>
  <c r="E20" i="23"/>
  <c r="H20" i="19"/>
  <c r="E27" i="23"/>
  <c r="H27" i="19"/>
  <c r="E22" i="23"/>
  <c r="H22" i="19"/>
  <c r="E26" i="23"/>
  <c r="H26" i="19"/>
  <c r="H9" i="10"/>
  <c r="E9" i="19"/>
  <c r="F9" s="1"/>
  <c r="H10" i="10"/>
  <c r="E10" i="19"/>
  <c r="F10" s="1"/>
  <c r="H11" i="10"/>
  <c r="E11" i="19"/>
  <c r="F11" s="1"/>
  <c r="E28" i="23"/>
  <c r="H28" i="19"/>
  <c r="E18" i="23"/>
  <c r="H18" i="19"/>
  <c r="I18" s="1"/>
  <c r="H17" i="10"/>
  <c r="E17" i="19"/>
  <c r="F17" s="1"/>
  <c r="E15" i="24"/>
  <c r="H15" i="23"/>
  <c r="E19"/>
  <c r="H19" i="19"/>
  <c r="E30" i="23"/>
  <c r="H30" i="19"/>
  <c r="E31" i="23"/>
  <c r="H31" i="19"/>
  <c r="I31" s="1"/>
  <c r="H15"/>
  <c r="D42" i="25"/>
  <c r="D44" s="1"/>
  <c r="D36"/>
  <c r="D37"/>
  <c r="D8" i="23"/>
  <c r="D31"/>
  <c r="D30"/>
  <c r="F30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D17"/>
  <c r="D16"/>
  <c r="D15"/>
  <c r="F15" s="1"/>
  <c r="D14"/>
  <c r="D13"/>
  <c r="D12"/>
  <c r="D11"/>
  <c r="D10"/>
  <c r="D9"/>
  <c r="E29"/>
  <c r="F29" s="1"/>
  <c r="D9" i="24"/>
  <c r="D10"/>
  <c r="D11"/>
  <c r="D12"/>
  <c r="D13"/>
  <c r="D14"/>
  <c r="D15"/>
  <c r="F15" s="1"/>
  <c r="D16"/>
  <c r="D17"/>
  <c r="D18"/>
  <c r="D19"/>
  <c r="D20"/>
  <c r="D21"/>
  <c r="D22"/>
  <c r="D23"/>
  <c r="D24"/>
  <c r="D25"/>
  <c r="D26"/>
  <c r="D27"/>
  <c r="D28"/>
  <c r="D30"/>
  <c r="D31"/>
  <c r="D8"/>
  <c r="D32" i="25"/>
  <c r="D35"/>
  <c r="D39" s="1"/>
  <c r="D32" i="24"/>
  <c r="D35"/>
  <c r="D32" i="23"/>
  <c r="D35"/>
  <c r="D38" i="19"/>
  <c r="F43"/>
  <c r="D35" i="10"/>
  <c r="F42"/>
  <c r="J16"/>
  <c r="R38" i="5"/>
  <c r="E38"/>
  <c r="D37" i="10"/>
  <c r="D36"/>
  <c r="G20" i="6"/>
  <c r="C15" i="7"/>
  <c r="R15" s="1"/>
  <c r="B11" i="8"/>
  <c r="B12"/>
  <c r="D12" s="1"/>
  <c r="E12" s="1"/>
  <c r="F12" s="1"/>
  <c r="G12" s="1"/>
  <c r="H12" s="1"/>
  <c r="D15" i="7"/>
  <c r="T19"/>
  <c r="H9" i="8"/>
  <c r="G9"/>
  <c r="F9"/>
  <c r="E9"/>
  <c r="R10" i="6"/>
  <c r="D12" i="7"/>
  <c r="C12"/>
  <c r="R12" s="1"/>
  <c r="D16" i="8"/>
  <c r="E16"/>
  <c r="D17"/>
  <c r="D12" i="1"/>
  <c r="E12"/>
  <c r="F12"/>
  <c r="G12"/>
  <c r="H12"/>
  <c r="C12"/>
  <c r="E15" i="7" l="1"/>
  <c r="T15" s="1"/>
  <c r="S15"/>
  <c r="R14"/>
  <c r="D14"/>
  <c r="S14" s="1"/>
  <c r="E17" i="1"/>
  <c r="E16" i="17"/>
  <c r="E16" i="16"/>
  <c r="F19" i="1"/>
  <c r="F17" i="17"/>
  <c r="F17" i="16"/>
  <c r="G19" i="1"/>
  <c r="G17" i="17"/>
  <c r="G17" i="16"/>
  <c r="H19" i="1"/>
  <c r="H17" i="17"/>
  <c r="H17" i="16"/>
  <c r="I11" i="10"/>
  <c r="J11" s="1"/>
  <c r="I10"/>
  <c r="J10" s="1"/>
  <c r="I9"/>
  <c r="J9" s="1"/>
  <c r="B17" i="28"/>
  <c r="D18" i="18"/>
  <c r="I30" i="19"/>
  <c r="J30" s="1"/>
  <c r="I28"/>
  <c r="J28" s="1"/>
  <c r="I27"/>
  <c r="J27" s="1"/>
  <c r="I13" i="10"/>
  <c r="J13" s="1"/>
  <c r="I12"/>
  <c r="J12" s="1"/>
  <c r="I24" i="19"/>
  <c r="J24" s="1"/>
  <c r="I17" i="10"/>
  <c r="J17" s="1"/>
  <c r="I19" i="19"/>
  <c r="J19" s="1"/>
  <c r="I15"/>
  <c r="J15" s="1"/>
  <c r="I15" i="23"/>
  <c r="I15" i="10"/>
  <c r="J15" s="1"/>
  <c r="J18"/>
  <c r="E37"/>
  <c r="F37"/>
  <c r="I25" i="19"/>
  <c r="J25" s="1"/>
  <c r="I26"/>
  <c r="J26" s="1"/>
  <c r="I20"/>
  <c r="J20" s="1"/>
  <c r="I22"/>
  <c r="J22" s="1"/>
  <c r="I14" i="10"/>
  <c r="J14" s="1"/>
  <c r="I21" i="19"/>
  <c r="J21" s="1"/>
  <c r="I31" i="10"/>
  <c r="J23"/>
  <c r="I23" i="19"/>
  <c r="J23" s="1"/>
  <c r="D12" i="26"/>
  <c r="C16" i="28"/>
  <c r="C12" i="26"/>
  <c r="C24" s="1"/>
  <c r="B16" i="28"/>
  <c r="B20" s="1"/>
  <c r="G41" i="10"/>
  <c r="F41"/>
  <c r="E41"/>
  <c r="C7" i="26" s="1"/>
  <c r="F8" i="19"/>
  <c r="E42" s="1"/>
  <c r="E32"/>
  <c r="D11" i="8"/>
  <c r="E16" i="7"/>
  <c r="T16" s="1"/>
  <c r="D42" i="24"/>
  <c r="D43"/>
  <c r="D36" i="23"/>
  <c r="D37"/>
  <c r="D38"/>
  <c r="F18"/>
  <c r="D43"/>
  <c r="F31"/>
  <c r="E43" s="1"/>
  <c r="E8" i="26" s="1"/>
  <c r="D39" i="23"/>
  <c r="F31" i="10"/>
  <c r="F32" i="19"/>
  <c r="E29" i="24"/>
  <c r="F29" s="1"/>
  <c r="H29" i="23"/>
  <c r="J30" i="10"/>
  <c r="H42" s="1"/>
  <c r="G42"/>
  <c r="E31" i="24"/>
  <c r="F31" s="1"/>
  <c r="E43" s="1"/>
  <c r="F8" i="26" s="1"/>
  <c r="H31" i="23"/>
  <c r="I31" s="1"/>
  <c r="E30" i="24"/>
  <c r="F30" s="1"/>
  <c r="H30" i="23"/>
  <c r="E19" i="24"/>
  <c r="F19" s="1"/>
  <c r="H19" i="23"/>
  <c r="E15" i="25"/>
  <c r="H15" i="24"/>
  <c r="E17" i="23"/>
  <c r="F17" s="1"/>
  <c r="H17" i="19"/>
  <c r="E18" i="24"/>
  <c r="F18" s="1"/>
  <c r="H18" i="23"/>
  <c r="I18" s="1"/>
  <c r="E28" i="24"/>
  <c r="F28" s="1"/>
  <c r="H28" i="23"/>
  <c r="E11"/>
  <c r="F11" s="1"/>
  <c r="H11" i="19"/>
  <c r="E10" i="23"/>
  <c r="F10" s="1"/>
  <c r="H10" i="19"/>
  <c r="E9" i="23"/>
  <c r="F9" s="1"/>
  <c r="H9" i="19"/>
  <c r="E26" i="24"/>
  <c r="F26" s="1"/>
  <c r="H26" i="23"/>
  <c r="E22" i="24"/>
  <c r="F22" s="1"/>
  <c r="H22" i="23"/>
  <c r="E27" i="24"/>
  <c r="F27" s="1"/>
  <c r="H27" i="23"/>
  <c r="E20" i="24"/>
  <c r="F20" s="1"/>
  <c r="H20" i="23"/>
  <c r="E25" i="24"/>
  <c r="F25" s="1"/>
  <c r="H25" i="23"/>
  <c r="E24" i="24"/>
  <c r="F24" s="1"/>
  <c r="H24" i="23"/>
  <c r="E23" i="24"/>
  <c r="F23" s="1"/>
  <c r="H23" i="23"/>
  <c r="E21" i="24"/>
  <c r="F21" s="1"/>
  <c r="H21" i="23"/>
  <c r="E16"/>
  <c r="F16" s="1"/>
  <c r="H16" i="19"/>
  <c r="I16" s="1"/>
  <c r="E14" i="23"/>
  <c r="F14" s="1"/>
  <c r="H14" i="19"/>
  <c r="I14" s="1"/>
  <c r="E13" i="23"/>
  <c r="F13" s="1"/>
  <c r="H13" i="19"/>
  <c r="E12" i="23"/>
  <c r="F12" s="1"/>
  <c r="H12" i="19"/>
  <c r="E8" i="23"/>
  <c r="H8" i="19"/>
  <c r="I8" s="1"/>
  <c r="F43" i="10"/>
  <c r="H31"/>
  <c r="D34"/>
  <c r="D38" s="1"/>
  <c r="D38" i="24"/>
  <c r="D37"/>
  <c r="D36"/>
  <c r="D39" s="1"/>
  <c r="D42" i="23"/>
  <c r="D44" s="1"/>
  <c r="J15"/>
  <c r="G43" i="19"/>
  <c r="J31"/>
  <c r="H43" s="1"/>
  <c r="E38"/>
  <c r="J18"/>
  <c r="E36" i="10"/>
  <c r="E35"/>
  <c r="D11" i="7"/>
  <c r="B8" i="8"/>
  <c r="B14" s="1"/>
  <c r="R9" i="6"/>
  <c r="R11" s="1"/>
  <c r="E11"/>
  <c r="C11" i="7"/>
  <c r="C17" s="1"/>
  <c r="R17" s="1"/>
  <c r="E34" i="10"/>
  <c r="E38" s="1"/>
  <c r="E14" i="7"/>
  <c r="T14" s="1"/>
  <c r="E12"/>
  <c r="T12" s="1"/>
  <c r="S12"/>
  <c r="D8" i="8"/>
  <c r="R11" i="7"/>
  <c r="H5" i="18" l="1"/>
  <c r="H19" i="17"/>
  <c r="H19" i="16"/>
  <c r="G8" i="31"/>
  <c r="F5" i="29"/>
  <c r="F5" i="28"/>
  <c r="G5" i="27"/>
  <c r="G6" i="3"/>
  <c r="G5" i="18"/>
  <c r="G19" i="17"/>
  <c r="G19" i="16"/>
  <c r="F8" i="31"/>
  <c r="E5" i="29"/>
  <c r="E5" i="28"/>
  <c r="F5" i="27"/>
  <c r="F6" i="3"/>
  <c r="F5" i="18"/>
  <c r="F19" i="17"/>
  <c r="F19" i="16"/>
  <c r="E8" i="31"/>
  <c r="D5" i="29"/>
  <c r="D5" i="28"/>
  <c r="E5" i="27"/>
  <c r="E6" i="3"/>
  <c r="E19" i="1"/>
  <c r="E17" i="17"/>
  <c r="E17" i="16"/>
  <c r="F35" i="10"/>
  <c r="F36"/>
  <c r="S11" i="7"/>
  <c r="D17"/>
  <c r="I27" i="23"/>
  <c r="J27" s="1"/>
  <c r="I9" i="19"/>
  <c r="J9" s="1"/>
  <c r="I10"/>
  <c r="J10" s="1"/>
  <c r="I11"/>
  <c r="J11" s="1"/>
  <c r="I28" i="23"/>
  <c r="J28" s="1"/>
  <c r="I30"/>
  <c r="J30" s="1"/>
  <c r="I29"/>
  <c r="J29" s="1"/>
  <c r="I13" i="19"/>
  <c r="J13" s="1"/>
  <c r="I12"/>
  <c r="J12" s="1"/>
  <c r="I24" i="23"/>
  <c r="J24" s="1"/>
  <c r="I17" i="19"/>
  <c r="J17" s="1"/>
  <c r="I19" i="23"/>
  <c r="J19" s="1"/>
  <c r="F38" i="19"/>
  <c r="I15" i="24"/>
  <c r="J15" s="1"/>
  <c r="I25" i="23"/>
  <c r="J25" s="1"/>
  <c r="I26"/>
  <c r="J26" s="1"/>
  <c r="I20"/>
  <c r="J20" s="1"/>
  <c r="I22"/>
  <c r="J22" s="1"/>
  <c r="I21"/>
  <c r="J21" s="1"/>
  <c r="I23"/>
  <c r="J23" s="1"/>
  <c r="F12" i="26"/>
  <c r="E16" i="28"/>
  <c r="E12" i="26"/>
  <c r="D16" i="28"/>
  <c r="C11" i="26"/>
  <c r="C13" s="1"/>
  <c r="F8" i="23"/>
  <c r="E32"/>
  <c r="D7" i="26"/>
  <c r="E44" i="19"/>
  <c r="E11" i="8"/>
  <c r="D14"/>
  <c r="H15" i="25"/>
  <c r="F15"/>
  <c r="D44" i="24"/>
  <c r="E43" i="10"/>
  <c r="F34"/>
  <c r="F38" s="1"/>
  <c r="J31"/>
  <c r="H41"/>
  <c r="H43" s="1"/>
  <c r="F42" i="19"/>
  <c r="F44" s="1"/>
  <c r="D35"/>
  <c r="H32"/>
  <c r="E8" i="24"/>
  <c r="H8" i="23"/>
  <c r="I8" s="1"/>
  <c r="E12" i="24"/>
  <c r="F12" s="1"/>
  <c r="H12" i="23"/>
  <c r="E13" i="24"/>
  <c r="F13" s="1"/>
  <c r="H13" i="23"/>
  <c r="D36" i="19"/>
  <c r="E14" i="24"/>
  <c r="F14" s="1"/>
  <c r="H14" i="23"/>
  <c r="I14" s="1"/>
  <c r="D37" i="19"/>
  <c r="E16" i="24"/>
  <c r="F16" s="1"/>
  <c r="H16" i="23"/>
  <c r="I16" s="1"/>
  <c r="E21" i="25"/>
  <c r="H21" i="24"/>
  <c r="E23" i="25"/>
  <c r="H23" i="24"/>
  <c r="E24" i="25"/>
  <c r="H24" i="24"/>
  <c r="E25" i="25"/>
  <c r="H25" i="24"/>
  <c r="E20" i="25"/>
  <c r="H20" i="24"/>
  <c r="E27" i="25"/>
  <c r="H27" i="24"/>
  <c r="E22" i="25"/>
  <c r="H22" i="24"/>
  <c r="E26" i="25"/>
  <c r="H26" i="24"/>
  <c r="E9"/>
  <c r="F9" s="1"/>
  <c r="H9" i="23"/>
  <c r="E10" i="24"/>
  <c r="F10" s="1"/>
  <c r="H10" i="23"/>
  <c r="E11" i="24"/>
  <c r="F11" s="1"/>
  <c r="H11" i="23"/>
  <c r="E28" i="25"/>
  <c r="H28" i="24"/>
  <c r="E38" i="23"/>
  <c r="E18" i="25"/>
  <c r="H18" i="24"/>
  <c r="I18" s="1"/>
  <c r="E17"/>
  <c r="F17" s="1"/>
  <c r="H17" i="23"/>
  <c r="E19" i="25"/>
  <c r="H19" i="24"/>
  <c r="E30" i="25"/>
  <c r="H30" i="24"/>
  <c r="F43" i="23"/>
  <c r="E31" i="25"/>
  <c r="H31" i="24"/>
  <c r="I31" s="1"/>
  <c r="E29" i="25"/>
  <c r="H29" i="24"/>
  <c r="G43" i="10"/>
  <c r="E11" i="7"/>
  <c r="E17" s="1"/>
  <c r="H8" i="8"/>
  <c r="G8"/>
  <c r="F8"/>
  <c r="E8"/>
  <c r="E5" i="18" l="1"/>
  <c r="E19" i="17"/>
  <c r="E19" i="16"/>
  <c r="D8" i="31"/>
  <c r="C5" i="29"/>
  <c r="C5" i="28"/>
  <c r="D5" i="27"/>
  <c r="D6" i="3"/>
  <c r="C9" i="27"/>
  <c r="M18" i="30"/>
  <c r="L18"/>
  <c r="K18"/>
  <c r="J18"/>
  <c r="I18"/>
  <c r="H18"/>
  <c r="G18"/>
  <c r="F18"/>
  <c r="E18"/>
  <c r="D18"/>
  <c r="C18"/>
  <c r="B18"/>
  <c r="N18" s="1"/>
  <c r="B18" i="29"/>
  <c r="I29" i="24"/>
  <c r="J29" s="1"/>
  <c r="I30"/>
  <c r="J30" s="1"/>
  <c r="I28"/>
  <c r="J28" s="1"/>
  <c r="I11" i="23"/>
  <c r="J11" s="1"/>
  <c r="I10"/>
  <c r="J10" s="1"/>
  <c r="I9"/>
  <c r="J9" s="1"/>
  <c r="I27" i="24"/>
  <c r="J27" s="1"/>
  <c r="I13" i="23"/>
  <c r="J13" s="1"/>
  <c r="I12"/>
  <c r="J12" s="1"/>
  <c r="I24" i="24"/>
  <c r="J24" s="1"/>
  <c r="I17" i="23"/>
  <c r="J17" s="1"/>
  <c r="I19" i="24"/>
  <c r="J19" s="1"/>
  <c r="I15" i="25"/>
  <c r="J15" s="1"/>
  <c r="I25" i="24"/>
  <c r="J25" s="1"/>
  <c r="I26"/>
  <c r="J26" s="1"/>
  <c r="I20"/>
  <c r="J20" s="1"/>
  <c r="I22"/>
  <c r="J22" s="1"/>
  <c r="I21"/>
  <c r="J21" s="1"/>
  <c r="I23"/>
  <c r="J23" s="1"/>
  <c r="M17" i="30"/>
  <c r="L17"/>
  <c r="K17"/>
  <c r="J17"/>
  <c r="I17"/>
  <c r="H17"/>
  <c r="G17"/>
  <c r="F17"/>
  <c r="E17"/>
  <c r="D17"/>
  <c r="C17"/>
  <c r="B17"/>
  <c r="N17" s="1"/>
  <c r="B17" i="29"/>
  <c r="B8" i="28"/>
  <c r="C23" i="26"/>
  <c r="C25" s="1"/>
  <c r="S17" i="7"/>
  <c r="D24"/>
  <c r="D11" i="26"/>
  <c r="D13" s="1"/>
  <c r="D9"/>
  <c r="F32" i="23"/>
  <c r="E42"/>
  <c r="F11" i="8"/>
  <c r="E14"/>
  <c r="H29" i="25"/>
  <c r="F29"/>
  <c r="H31"/>
  <c r="F31"/>
  <c r="E43" s="1"/>
  <c r="G8" i="26" s="1"/>
  <c r="H30" i="25"/>
  <c r="F30"/>
  <c r="H19"/>
  <c r="F19"/>
  <c r="H18"/>
  <c r="F18"/>
  <c r="H28"/>
  <c r="F28"/>
  <c r="H26"/>
  <c r="F26"/>
  <c r="H22"/>
  <c r="F22"/>
  <c r="H27"/>
  <c r="F27"/>
  <c r="H20"/>
  <c r="F20"/>
  <c r="H25"/>
  <c r="F25"/>
  <c r="H24"/>
  <c r="F24"/>
  <c r="H23"/>
  <c r="F23"/>
  <c r="H21"/>
  <c r="F21"/>
  <c r="E32" i="24"/>
  <c r="F8"/>
  <c r="C9" i="26"/>
  <c r="C13" i="27" s="1"/>
  <c r="F43" i="24"/>
  <c r="F43" i="25"/>
  <c r="G43" i="23"/>
  <c r="J31"/>
  <c r="H43" s="1"/>
  <c r="E17" i="25"/>
  <c r="H17" i="24"/>
  <c r="E38"/>
  <c r="E38" i="25"/>
  <c r="F38" i="23"/>
  <c r="J18"/>
  <c r="G38" s="1"/>
  <c r="E11" i="25"/>
  <c r="H11" i="24"/>
  <c r="E10" i="25"/>
  <c r="H10" i="24"/>
  <c r="E9" i="25"/>
  <c r="H9" i="24"/>
  <c r="E37" i="23"/>
  <c r="E16" i="25"/>
  <c r="H16" i="24"/>
  <c r="I16" s="1"/>
  <c r="E37" i="19"/>
  <c r="J16"/>
  <c r="F37" s="1"/>
  <c r="E36" i="23"/>
  <c r="E14" i="25"/>
  <c r="H14" i="24"/>
  <c r="I14" s="1"/>
  <c r="E36" i="19"/>
  <c r="J14"/>
  <c r="F36" s="1"/>
  <c r="E13" i="25"/>
  <c r="H13" i="24"/>
  <c r="E12" i="25"/>
  <c r="H12" i="24"/>
  <c r="F42" i="23"/>
  <c r="F44" s="1"/>
  <c r="E35"/>
  <c r="E39" s="1"/>
  <c r="H32"/>
  <c r="E8" i="25"/>
  <c r="H8" i="24"/>
  <c r="I8" s="1"/>
  <c r="G42" i="19"/>
  <c r="G44" s="1"/>
  <c r="E35"/>
  <c r="E39" s="1"/>
  <c r="I32"/>
  <c r="J8"/>
  <c r="D39"/>
  <c r="T17" i="7"/>
  <c r="T11"/>
  <c r="C15" i="26" l="1"/>
  <c r="D20" i="16" s="1"/>
  <c r="E13" i="18"/>
  <c r="E14"/>
  <c r="F14" s="1"/>
  <c r="G14" s="1"/>
  <c r="H14" s="1"/>
  <c r="E15"/>
  <c r="F15" s="1"/>
  <c r="G15" s="1"/>
  <c r="H15" s="1"/>
  <c r="F13"/>
  <c r="G13" s="1"/>
  <c r="H13" s="1"/>
  <c r="E12"/>
  <c r="F12" s="1"/>
  <c r="G12" s="1"/>
  <c r="H12" s="1"/>
  <c r="E8"/>
  <c r="F8" s="1"/>
  <c r="G8" s="1"/>
  <c r="H8" s="1"/>
  <c r="E9"/>
  <c r="F9" s="1"/>
  <c r="G9" s="1"/>
  <c r="H9" s="1"/>
  <c r="E10"/>
  <c r="F10" s="1"/>
  <c r="G10" s="1"/>
  <c r="H10" s="1"/>
  <c r="E11"/>
  <c r="F11" s="1"/>
  <c r="G11" s="1"/>
  <c r="H11" s="1"/>
  <c r="E7"/>
  <c r="D15" i="26"/>
  <c r="D21" i="16"/>
  <c r="I9" i="24"/>
  <c r="J9" s="1"/>
  <c r="I10"/>
  <c r="J10" s="1"/>
  <c r="I11"/>
  <c r="J11" s="1"/>
  <c r="I27" i="25"/>
  <c r="J27" s="1"/>
  <c r="I28"/>
  <c r="J28" s="1"/>
  <c r="I30"/>
  <c r="J30" s="1"/>
  <c r="I29"/>
  <c r="J29" s="1"/>
  <c r="I31"/>
  <c r="I13" i="24"/>
  <c r="J13" s="1"/>
  <c r="I12"/>
  <c r="J12" s="1"/>
  <c r="I24" i="25"/>
  <c r="J24" s="1"/>
  <c r="I17" i="24"/>
  <c r="J17" s="1"/>
  <c r="I19" i="25"/>
  <c r="J19" s="1"/>
  <c r="I18"/>
  <c r="I25"/>
  <c r="J25" s="1"/>
  <c r="I26"/>
  <c r="J26" s="1"/>
  <c r="I20"/>
  <c r="J20" s="1"/>
  <c r="I22"/>
  <c r="J22" s="1"/>
  <c r="I21"/>
  <c r="J21" s="1"/>
  <c r="I23"/>
  <c r="J23" s="1"/>
  <c r="D13" i="27"/>
  <c r="C17" i="29"/>
  <c r="G12" i="26"/>
  <c r="F16" i="28"/>
  <c r="C8"/>
  <c r="F32" i="24"/>
  <c r="E42"/>
  <c r="E7" i="26"/>
  <c r="E44" i="23"/>
  <c r="S24" i="7"/>
  <c r="D26"/>
  <c r="G11" i="8"/>
  <c r="F14"/>
  <c r="H8" i="25"/>
  <c r="E32"/>
  <c r="F8"/>
  <c r="H12"/>
  <c r="F12"/>
  <c r="H13"/>
  <c r="F13"/>
  <c r="H14"/>
  <c r="F14"/>
  <c r="H16"/>
  <c r="F16"/>
  <c r="H9"/>
  <c r="F9"/>
  <c r="H10"/>
  <c r="F10"/>
  <c r="H11"/>
  <c r="F11"/>
  <c r="H17"/>
  <c r="F17"/>
  <c r="H42" i="19"/>
  <c r="H44" s="1"/>
  <c r="F35"/>
  <c r="F39" s="1"/>
  <c r="J32"/>
  <c r="F42" i="24"/>
  <c r="F44" s="1"/>
  <c r="E35"/>
  <c r="H32"/>
  <c r="F42" i="25"/>
  <c r="F44" s="1"/>
  <c r="E35"/>
  <c r="H32"/>
  <c r="G42" i="23"/>
  <c r="G44" s="1"/>
  <c r="F35"/>
  <c r="I32"/>
  <c r="J8"/>
  <c r="E36" i="24"/>
  <c r="E36" i="25"/>
  <c r="F36" i="23"/>
  <c r="J14"/>
  <c r="G36" s="1"/>
  <c r="E37" i="24"/>
  <c r="E37" i="25"/>
  <c r="F37" i="23"/>
  <c r="J16"/>
  <c r="G37" s="1"/>
  <c r="F38" i="25"/>
  <c r="J18"/>
  <c r="F38" i="24"/>
  <c r="J18"/>
  <c r="G38" s="1"/>
  <c r="G43" i="25"/>
  <c r="J31"/>
  <c r="H43" s="1"/>
  <c r="G43" i="24"/>
  <c r="J31"/>
  <c r="H43" s="1"/>
  <c r="E16" i="18" l="1"/>
  <c r="E17"/>
  <c r="C9" i="28" s="1"/>
  <c r="F7" i="18"/>
  <c r="C16" i="26"/>
  <c r="D16"/>
  <c r="S26" i="7"/>
  <c r="B8" i="29"/>
  <c r="B8" i="30" s="1"/>
  <c r="N8" s="1"/>
  <c r="I11" i="25"/>
  <c r="J11" s="1"/>
  <c r="I10"/>
  <c r="J10" s="1"/>
  <c r="I9"/>
  <c r="J9" s="1"/>
  <c r="I8"/>
  <c r="I13"/>
  <c r="J13" s="1"/>
  <c r="I12"/>
  <c r="J12" s="1"/>
  <c r="I17"/>
  <c r="J17" s="1"/>
  <c r="G38"/>
  <c r="I16"/>
  <c r="I14"/>
  <c r="E11" i="26"/>
  <c r="E13" s="1"/>
  <c r="E9"/>
  <c r="F7"/>
  <c r="E44" i="24"/>
  <c r="E42" i="25"/>
  <c r="H11" i="8"/>
  <c r="H14" s="1"/>
  <c r="G14"/>
  <c r="F32" i="25"/>
  <c r="F37"/>
  <c r="J16"/>
  <c r="F37" i="24"/>
  <c r="J16"/>
  <c r="G37" s="1"/>
  <c r="F36" i="25"/>
  <c r="J14"/>
  <c r="G36" s="1"/>
  <c r="F36" i="24"/>
  <c r="J14"/>
  <c r="G36" s="1"/>
  <c r="H42" i="23"/>
  <c r="H44" s="1"/>
  <c r="G35"/>
  <c r="G39" s="1"/>
  <c r="J32"/>
  <c r="G42" i="25"/>
  <c r="G44" s="1"/>
  <c r="F35"/>
  <c r="F39" s="1"/>
  <c r="I32"/>
  <c r="J8"/>
  <c r="G42" i="24"/>
  <c r="G44" s="1"/>
  <c r="F35"/>
  <c r="F39" s="1"/>
  <c r="I32"/>
  <c r="J8"/>
  <c r="F39" i="23"/>
  <c r="E39" i="25"/>
  <c r="E39" i="24"/>
  <c r="F16" i="18" l="1"/>
  <c r="F17"/>
  <c r="D9" i="28" s="1"/>
  <c r="C17"/>
  <c r="C20" s="1"/>
  <c r="E18" i="18"/>
  <c r="E20" i="16" s="1"/>
  <c r="G7" i="18"/>
  <c r="E15" i="26"/>
  <c r="E50" i="9"/>
  <c r="G38" i="31"/>
  <c r="I38" s="1"/>
  <c r="G37" i="25"/>
  <c r="E13" i="27"/>
  <c r="D17" i="29"/>
  <c r="D8" i="28"/>
  <c r="G7" i="26"/>
  <c r="E44" i="25"/>
  <c r="F11" i="26"/>
  <c r="F13" s="1"/>
  <c r="F9"/>
  <c r="H42" i="24"/>
  <c r="H44" s="1"/>
  <c r="G35"/>
  <c r="G39" s="1"/>
  <c r="J32"/>
  <c r="H42" i="25"/>
  <c r="H44" s="1"/>
  <c r="G35"/>
  <c r="G39" s="1"/>
  <c r="J32"/>
  <c r="G16" i="18" l="1"/>
  <c r="G17"/>
  <c r="E9" i="28" s="1"/>
  <c r="D17"/>
  <c r="D20" s="1"/>
  <c r="F18" i="18"/>
  <c r="F20" i="16" s="1"/>
  <c r="H7" i="18"/>
  <c r="D9" i="27"/>
  <c r="C18" i="29"/>
  <c r="E16" i="26"/>
  <c r="F15"/>
  <c r="F9" i="9"/>
  <c r="F11" s="1"/>
  <c r="G9"/>
  <c r="G11" s="1"/>
  <c r="E60"/>
  <c r="C10"/>
  <c r="C9"/>
  <c r="F13" i="27"/>
  <c r="E17" i="29"/>
  <c r="E8" i="28"/>
  <c r="G11" i="26"/>
  <c r="G13" s="1"/>
  <c r="G9"/>
  <c r="H16" i="18" l="1"/>
  <c r="H17"/>
  <c r="F9" i="28" s="1"/>
  <c r="F17"/>
  <c r="F20" s="1"/>
  <c r="H18" i="18"/>
  <c r="E17" i="28"/>
  <c r="E20" s="1"/>
  <c r="G18" i="18"/>
  <c r="G20" i="16" s="1"/>
  <c r="E9" i="27"/>
  <c r="D18" i="29"/>
  <c r="F16" i="26"/>
  <c r="G15"/>
  <c r="E9" i="9"/>
  <c r="C11"/>
  <c r="E22"/>
  <c r="E23"/>
  <c r="E24"/>
  <c r="E25"/>
  <c r="E26"/>
  <c r="E27"/>
  <c r="E28"/>
  <c r="E29"/>
  <c r="E30"/>
  <c r="E31"/>
  <c r="E32"/>
  <c r="E33"/>
  <c r="E34"/>
  <c r="E35"/>
  <c r="E36"/>
  <c r="E21"/>
  <c r="G13" i="27"/>
  <c r="F17" i="29"/>
  <c r="F8" i="28"/>
  <c r="H20" i="16" l="1"/>
  <c r="F9" i="27"/>
  <c r="E18" i="29"/>
  <c r="G9" i="27"/>
  <c r="F18" i="29"/>
  <c r="G16" i="26"/>
  <c r="H9" i="9"/>
  <c r="D10"/>
  <c r="E10" s="1"/>
  <c r="H10" l="1"/>
  <c r="H11" s="1"/>
  <c r="H12" s="1"/>
  <c r="C17"/>
  <c r="C18" l="1"/>
  <c r="G17"/>
  <c r="D17"/>
  <c r="B19" i="8"/>
  <c r="C22" i="7"/>
  <c r="C23" s="1"/>
  <c r="C24" s="1"/>
  <c r="H19" i="8" l="1"/>
  <c r="H20" s="1"/>
  <c r="H21" s="1"/>
  <c r="G10" i="3" s="1"/>
  <c r="G19" i="8"/>
  <c r="G20" s="1"/>
  <c r="G21" s="1"/>
  <c r="F10" i="3" s="1"/>
  <c r="F19" i="8"/>
  <c r="F20" s="1"/>
  <c r="F21" s="1"/>
  <c r="E10" i="3" s="1"/>
  <c r="D19" i="8"/>
  <c r="D20" s="1"/>
  <c r="E19"/>
  <c r="E20" s="1"/>
  <c r="E21" s="1"/>
  <c r="D10" i="3" s="1"/>
  <c r="E17" i="9"/>
  <c r="D20" i="30"/>
  <c r="C19" i="9"/>
  <c r="G18"/>
  <c r="D18"/>
  <c r="F17" l="1"/>
  <c r="D21" i="30" s="1"/>
  <c r="D19" i="29"/>
  <c r="D11"/>
  <c r="D11" i="28"/>
  <c r="E19" i="27"/>
  <c r="E19" i="29"/>
  <c r="E11"/>
  <c r="E11" i="28"/>
  <c r="F19" i="27"/>
  <c r="F19" i="29"/>
  <c r="F11"/>
  <c r="F11" i="28"/>
  <c r="G19" i="27"/>
  <c r="G20" i="30"/>
  <c r="E18" i="9"/>
  <c r="F18" s="1"/>
  <c r="G21" i="30" s="1"/>
  <c r="C20" i="9"/>
  <c r="G19"/>
  <c r="D19"/>
  <c r="B21" i="8"/>
  <c r="D21"/>
  <c r="C19" i="29"/>
  <c r="C11"/>
  <c r="C11" i="28"/>
  <c r="D19" i="27"/>
  <c r="E22" i="7"/>
  <c r="E23" s="1"/>
  <c r="E24" s="1"/>
  <c r="C10" i="3" l="1"/>
  <c r="D22" i="8"/>
  <c r="M19" i="30"/>
  <c r="L19"/>
  <c r="K19"/>
  <c r="J19"/>
  <c r="I19"/>
  <c r="H19"/>
  <c r="G19"/>
  <c r="F19"/>
  <c r="E19"/>
  <c r="D19"/>
  <c r="C19"/>
  <c r="B19"/>
  <c r="N19" s="1"/>
  <c r="B19" i="29"/>
  <c r="B11"/>
  <c r="B11" i="28"/>
  <c r="C19" i="27"/>
  <c r="E19" i="9"/>
  <c r="J20" i="30"/>
  <c r="G20" i="9"/>
  <c r="D20"/>
  <c r="C21" s="1"/>
  <c r="G21" l="1"/>
  <c r="F21" s="1"/>
  <c r="D21"/>
  <c r="C22" s="1"/>
  <c r="E20"/>
  <c r="F20" s="1"/>
  <c r="M21" i="30" s="1"/>
  <c r="M20"/>
  <c r="N20" s="1"/>
  <c r="F19" i="9"/>
  <c r="M11" i="30"/>
  <c r="L11"/>
  <c r="K11"/>
  <c r="J11"/>
  <c r="I11"/>
  <c r="H11"/>
  <c r="G11"/>
  <c r="F11"/>
  <c r="E11"/>
  <c r="D11"/>
  <c r="C11"/>
  <c r="B11"/>
  <c r="N11" s="1"/>
  <c r="D42" i="9"/>
  <c r="C9" i="3" l="1"/>
  <c r="F42" i="9"/>
  <c r="E37"/>
  <c r="B10" i="28"/>
  <c r="B12" s="1"/>
  <c r="B21" s="1"/>
  <c r="C14" i="27"/>
  <c r="B20" i="29"/>
  <c r="J21" i="30"/>
  <c r="C42" i="9"/>
  <c r="G22"/>
  <c r="N21" i="30"/>
  <c r="F24" i="7"/>
  <c r="H22"/>
  <c r="H23" s="1"/>
  <c r="H24" s="1"/>
  <c r="F22" i="9" l="1"/>
  <c r="B21" i="29"/>
  <c r="E42" i="9"/>
  <c r="H26" i="7"/>
  <c r="F26"/>
  <c r="B15" i="28" l="1"/>
  <c r="M16" i="30"/>
  <c r="M23" s="1"/>
  <c r="L16"/>
  <c r="L23" s="1"/>
  <c r="K16"/>
  <c r="K23" s="1"/>
  <c r="J16"/>
  <c r="J23" s="1"/>
  <c r="I16"/>
  <c r="I23" s="1"/>
  <c r="H16"/>
  <c r="H23" s="1"/>
  <c r="G16"/>
  <c r="G23" s="1"/>
  <c r="F16"/>
  <c r="F23" s="1"/>
  <c r="E16"/>
  <c r="E23" s="1"/>
  <c r="D16"/>
  <c r="D23" s="1"/>
  <c r="C16"/>
  <c r="C23" s="1"/>
  <c r="B16"/>
  <c r="C8" i="3"/>
  <c r="B16" i="29"/>
  <c r="E20" i="17"/>
  <c r="D22" i="9"/>
  <c r="C23" s="1"/>
  <c r="C15" i="29"/>
  <c r="D25" i="31"/>
  <c r="C7" i="29"/>
  <c r="D10" i="31"/>
  <c r="C8" i="27" l="1"/>
  <c r="C10" s="1"/>
  <c r="C15" i="3"/>
  <c r="G23" i="9"/>
  <c r="B43" i="28"/>
  <c r="B26" s="1"/>
  <c r="C26" i="27"/>
  <c r="B10" i="29"/>
  <c r="C7" i="3"/>
  <c r="C11" s="1"/>
  <c r="C12" s="1"/>
  <c r="F20" i="17"/>
  <c r="G20" s="1"/>
  <c r="H20" s="1"/>
  <c r="E21"/>
  <c r="N16" i="30"/>
  <c r="C10" i="29" l="1"/>
  <c r="C12" s="1"/>
  <c r="D26" i="27"/>
  <c r="C43" i="28"/>
  <c r="D7" i="3"/>
  <c r="C13"/>
  <c r="M10" i="30"/>
  <c r="M12" s="1"/>
  <c r="M24" s="1"/>
  <c r="L10"/>
  <c r="L12" s="1"/>
  <c r="L24" s="1"/>
  <c r="K10"/>
  <c r="K12" s="1"/>
  <c r="K24" s="1"/>
  <c r="J10"/>
  <c r="J12" s="1"/>
  <c r="J24" s="1"/>
  <c r="I10"/>
  <c r="I12" s="1"/>
  <c r="I24" s="1"/>
  <c r="H10"/>
  <c r="H12" s="1"/>
  <c r="H24" s="1"/>
  <c r="G10"/>
  <c r="G12" s="1"/>
  <c r="G24" s="1"/>
  <c r="F10"/>
  <c r="F12" s="1"/>
  <c r="F24" s="1"/>
  <c r="E10"/>
  <c r="E12" s="1"/>
  <c r="E24" s="1"/>
  <c r="D10"/>
  <c r="D12" s="1"/>
  <c r="D24" s="1"/>
  <c r="C10"/>
  <c r="C12" s="1"/>
  <c r="C24" s="1"/>
  <c r="B10"/>
  <c r="B30" i="28"/>
  <c r="B32"/>
  <c r="B31"/>
  <c r="B29"/>
  <c r="B28"/>
  <c r="F23" i="9"/>
  <c r="D23" l="1"/>
  <c r="C24" s="1"/>
  <c r="N10" i="30"/>
  <c r="C15" i="27"/>
  <c r="B23" i="28"/>
  <c r="B22" i="29"/>
  <c r="C16" i="27"/>
  <c r="B22" i="28"/>
  <c r="B24" s="1"/>
  <c r="G24" i="9" l="1"/>
  <c r="C17" i="27"/>
  <c r="C18" l="1"/>
  <c r="C20" s="1"/>
  <c r="C22"/>
  <c r="F24" i="9"/>
  <c r="D43"/>
  <c r="D9" i="3" s="1"/>
  <c r="C20" i="29" l="1"/>
  <c r="E21" i="16"/>
  <c r="C10" i="28"/>
  <c r="C12" s="1"/>
  <c r="D14" i="27"/>
  <c r="C43" i="9"/>
  <c r="C21" i="29" s="1"/>
  <c r="D24" i="9"/>
  <c r="C25" s="1"/>
  <c r="G25" l="1"/>
  <c r="F25" s="1"/>
  <c r="D25"/>
  <c r="C26" s="1"/>
  <c r="C21" i="28"/>
  <c r="C26"/>
  <c r="C15"/>
  <c r="D8" i="3"/>
  <c r="D11" s="1"/>
  <c r="C16" i="29"/>
  <c r="E43" i="9"/>
  <c r="D8" i="27" l="1"/>
  <c r="D10" s="1"/>
  <c r="C29" i="28"/>
  <c r="C28"/>
  <c r="C32"/>
  <c r="C31"/>
  <c r="C30"/>
  <c r="G26" i="9"/>
  <c r="F26" s="1"/>
  <c r="D26"/>
  <c r="C27" s="1"/>
  <c r="G27" l="1"/>
  <c r="F27" s="1"/>
  <c r="D27"/>
  <c r="C28" s="1"/>
  <c r="G28" s="1"/>
  <c r="D12" i="3"/>
  <c r="D13"/>
  <c r="F28" i="9"/>
  <c r="D44"/>
  <c r="E9" i="3" s="1"/>
  <c r="D20" i="29" l="1"/>
  <c r="D15" i="27"/>
  <c r="C23" i="28"/>
  <c r="C22" i="29"/>
  <c r="C23" s="1"/>
  <c r="C24" s="1"/>
  <c r="C22" i="28"/>
  <c r="D16" i="27"/>
  <c r="D10" i="28"/>
  <c r="D12" s="1"/>
  <c r="D21" s="1"/>
  <c r="E14" i="27"/>
  <c r="I23" i="7"/>
  <c r="I24" s="1"/>
  <c r="K22"/>
  <c r="K23" s="1"/>
  <c r="K24" s="1"/>
  <c r="C44" i="9"/>
  <c r="D28"/>
  <c r="C29" s="1"/>
  <c r="D11" i="31" l="1"/>
  <c r="C24" i="28"/>
  <c r="D17" i="27"/>
  <c r="E44" i="9"/>
  <c r="D21" i="29"/>
  <c r="K26" i="7"/>
  <c r="I26"/>
  <c r="F21" i="16"/>
  <c r="D15" i="28" s="1"/>
  <c r="F21" i="17"/>
  <c r="D10" i="29" s="1"/>
  <c r="G29" i="9"/>
  <c r="D18" i="27" l="1"/>
  <c r="D20" s="1"/>
  <c r="D14" i="31"/>
  <c r="D26"/>
  <c r="D29" s="1"/>
  <c r="D7" i="29"/>
  <c r="E10" i="31"/>
  <c r="D15" i="29"/>
  <c r="E25" i="31"/>
  <c r="E8" i="3"/>
  <c r="D16" i="29"/>
  <c r="D12"/>
  <c r="D43" i="28"/>
  <c r="D26" s="1"/>
  <c r="E26" i="27"/>
  <c r="E7" i="3"/>
  <c r="F29" i="9"/>
  <c r="E8" i="27" l="1"/>
  <c r="E10" s="1"/>
  <c r="E11" i="3"/>
  <c r="E12"/>
  <c r="D22" i="27"/>
  <c r="D29" i="28"/>
  <c r="D32"/>
  <c r="D31"/>
  <c r="D30"/>
  <c r="D28"/>
  <c r="E13" i="3"/>
  <c r="E16" i="27"/>
  <c r="D29" i="9"/>
  <c r="C30" s="1"/>
  <c r="D22" i="29" l="1"/>
  <c r="D23" s="1"/>
  <c r="D24" s="1"/>
  <c r="E11" i="31" s="1"/>
  <c r="D22" i="28"/>
  <c r="E14" i="31"/>
  <c r="E26"/>
  <c r="E29" s="1"/>
  <c r="E15" i="27"/>
  <c r="D23" i="28"/>
  <c r="D24" s="1"/>
  <c r="E17" i="27"/>
  <c r="G30" i="9"/>
  <c r="E18" i="27" l="1"/>
  <c r="E20" s="1"/>
  <c r="F30" i="9"/>
  <c r="E22" i="27" l="1"/>
  <c r="D30" i="9"/>
  <c r="C31" s="1"/>
  <c r="G31" l="1"/>
  <c r="F31" l="1"/>
  <c r="D31" l="1"/>
  <c r="C32" s="1"/>
  <c r="G32" l="1"/>
  <c r="F32" l="1"/>
  <c r="D45"/>
  <c r="F9" i="3" s="1"/>
  <c r="E20" i="29" l="1"/>
  <c r="E10" i="28"/>
  <c r="E12" s="1"/>
  <c r="E21" s="1"/>
  <c r="F14" i="27"/>
  <c r="G21" i="17"/>
  <c r="E10" i="29" s="1"/>
  <c r="L23" i="7"/>
  <c r="L24" s="1"/>
  <c r="G21" i="16"/>
  <c r="E15" i="28" s="1"/>
  <c r="C45" i="9"/>
  <c r="D32"/>
  <c r="C33" s="1"/>
  <c r="E45" l="1"/>
  <c r="E21" i="29"/>
  <c r="F8" i="3"/>
  <c r="E16" i="29"/>
  <c r="L26" i="7"/>
  <c r="E43" i="28"/>
  <c r="E26" s="1"/>
  <c r="F26" i="27"/>
  <c r="F7" i="3"/>
  <c r="G33" i="9"/>
  <c r="F8" i="27" l="1"/>
  <c r="F10" s="1"/>
  <c r="F11" i="3"/>
  <c r="F12" s="1"/>
  <c r="F10" i="31"/>
  <c r="E22" i="28"/>
  <c r="E22" i="29"/>
  <c r="N26" i="7"/>
  <c r="E7" i="29"/>
  <c r="E12" s="1"/>
  <c r="E29" i="28"/>
  <c r="E32"/>
  <c r="E31"/>
  <c r="E30"/>
  <c r="E28"/>
  <c r="F13" i="3"/>
  <c r="F16" i="27"/>
  <c r="F33" i="9"/>
  <c r="E15" i="29" l="1"/>
  <c r="E23" s="1"/>
  <c r="E24" s="1"/>
  <c r="F25" i="31"/>
  <c r="F11"/>
  <c r="F15" i="27"/>
  <c r="E23" i="28"/>
  <c r="E24" s="1"/>
  <c r="F17" i="27"/>
  <c r="D33" i="9"/>
  <c r="C34" s="1"/>
  <c r="F14" i="31" l="1"/>
  <c r="F26"/>
  <c r="F29" s="1"/>
  <c r="F18" i="27"/>
  <c r="F20" s="1"/>
  <c r="G34" i="9"/>
  <c r="F22" i="27" l="1"/>
  <c r="F34" i="9"/>
  <c r="D34" l="1"/>
  <c r="C35" s="1"/>
  <c r="G35" l="1"/>
  <c r="F35" l="1"/>
  <c r="D35" l="1"/>
  <c r="C36" s="1"/>
  <c r="G36" l="1"/>
  <c r="F36" l="1"/>
  <c r="D46"/>
  <c r="G9" i="3" s="1"/>
  <c r="G37" i="9"/>
  <c r="F20" i="29" l="1"/>
  <c r="F10" i="28"/>
  <c r="F12" s="1"/>
  <c r="F21" s="1"/>
  <c r="G14" i="27"/>
  <c r="O23" i="7"/>
  <c r="O24" s="1"/>
  <c r="Q22"/>
  <c r="R22"/>
  <c r="D47" i="9"/>
  <c r="F61" s="1"/>
  <c r="C46"/>
  <c r="F37"/>
  <c r="D36"/>
  <c r="C47" l="1"/>
  <c r="F21" i="29"/>
  <c r="T22" i="7"/>
  <c r="Q23"/>
  <c r="Q24" s="1"/>
  <c r="O26"/>
  <c r="R24"/>
  <c r="H21" i="16"/>
  <c r="F15" i="28" s="1"/>
  <c r="H21" i="17"/>
  <c r="F10" i="29" s="1"/>
  <c r="T23" i="7"/>
  <c r="R23"/>
  <c r="E47" i="9"/>
  <c r="E46"/>
  <c r="F7" i="29" l="1"/>
  <c r="G10" i="31"/>
  <c r="G8" i="3"/>
  <c r="F16" i="29"/>
  <c r="F12"/>
  <c r="Q26" i="7"/>
  <c r="T24"/>
  <c r="F43" i="28"/>
  <c r="F26" s="1"/>
  <c r="G26" i="27"/>
  <c r="G7" i="3"/>
  <c r="G8" i="27" l="1"/>
  <c r="G10" s="1"/>
  <c r="G11" i="3"/>
  <c r="G12" s="1"/>
  <c r="G25" i="31"/>
  <c r="F22" i="28"/>
  <c r="F22" i="29"/>
  <c r="F15"/>
  <c r="F23" s="1"/>
  <c r="F24" s="1"/>
  <c r="F29" i="28"/>
  <c r="B37" s="1"/>
  <c r="F32"/>
  <c r="B40" s="1"/>
  <c r="F31"/>
  <c r="B39" s="1"/>
  <c r="F30"/>
  <c r="B38" s="1"/>
  <c r="F28"/>
  <c r="B36" s="1"/>
  <c r="G13" i="3"/>
  <c r="G16" i="27"/>
  <c r="G11" i="31" l="1"/>
  <c r="G15" i="27"/>
  <c r="F23" i="28"/>
  <c r="F24" s="1"/>
  <c r="G17" i="27"/>
  <c r="G14" i="31" l="1"/>
  <c r="G26"/>
  <c r="G29" s="1"/>
  <c r="G18" i="27"/>
  <c r="G20" s="1"/>
  <c r="G22" l="1"/>
  <c r="C23" s="1"/>
  <c r="N9" i="30"/>
  <c r="R25" i="7"/>
  <c r="C26"/>
  <c r="B7" i="29"/>
  <c r="B12" s="1"/>
  <c r="B7" i="30"/>
  <c r="N7" s="1"/>
  <c r="N12" s="1"/>
  <c r="B12"/>
  <c r="E25" i="7"/>
  <c r="T25" s="1"/>
  <c r="E26"/>
  <c r="D27" s="1"/>
  <c r="C25" i="31"/>
  <c r="C27" i="7" l="1"/>
  <c r="C10" i="31"/>
  <c r="B15" i="30"/>
  <c r="T26" i="7"/>
  <c r="R26"/>
  <c r="B15" i="29"/>
  <c r="B23" s="1"/>
  <c r="E27" i="7"/>
  <c r="B24" i="29" l="1"/>
  <c r="B25" s="1"/>
  <c r="C25" s="1"/>
  <c r="D25" s="1"/>
  <c r="E25" s="1"/>
  <c r="F25" s="1"/>
  <c r="C11" i="31"/>
  <c r="C26" s="1"/>
  <c r="C29" s="1"/>
  <c r="C32" s="1"/>
  <c r="R27" i="7"/>
  <c r="G37" i="31"/>
  <c r="S27" i="7"/>
  <c r="T27"/>
  <c r="B23" i="30"/>
  <c r="B24" s="1"/>
  <c r="N15"/>
  <c r="N23" s="1"/>
  <c r="N24" s="1"/>
  <c r="C14" i="31"/>
  <c r="C18" s="1"/>
  <c r="C17" l="1"/>
  <c r="B25" i="30"/>
  <c r="C25" s="1"/>
  <c r="D25" s="1"/>
  <c r="E25" s="1"/>
  <c r="F25" s="1"/>
  <c r="G25" s="1"/>
  <c r="H25" s="1"/>
  <c r="I25" s="1"/>
  <c r="J25" s="1"/>
  <c r="K25" s="1"/>
  <c r="L25" s="1"/>
  <c r="M25" s="1"/>
  <c r="B28"/>
  <c r="G39" i="31"/>
  <c r="I37"/>
  <c r="I39" s="1"/>
  <c r="G40" s="1"/>
  <c r="C33"/>
</calcChain>
</file>

<file path=xl/sharedStrings.xml><?xml version="1.0" encoding="utf-8"?>
<sst xmlns="http://schemas.openxmlformats.org/spreadsheetml/2006/main" count="1167" uniqueCount="479">
  <si>
    <t>CAPACIDAD INSTALADA Y UTILIZADA</t>
  </si>
  <si>
    <t>Valores Unitarios</t>
  </si>
  <si>
    <t>Primer          Año</t>
  </si>
  <si>
    <t>Segundo Año</t>
  </si>
  <si>
    <t>Tercer          Año</t>
  </si>
  <si>
    <t>Cuarto         Año</t>
  </si>
  <si>
    <t>Quinto         Año</t>
  </si>
  <si>
    <t xml:space="preserve">VOLUMEN DE PRODUCCIÓN </t>
  </si>
  <si>
    <t xml:space="preserve">Capacidad instalada </t>
  </si>
  <si>
    <t>en Porcentaje</t>
  </si>
  <si>
    <t xml:space="preserve">Capacidad utilizada </t>
  </si>
  <si>
    <t>Parámetros:</t>
  </si>
  <si>
    <t>Porcentaje de cap. instalada por año</t>
  </si>
  <si>
    <t>de la capacidad total de la empresa</t>
  </si>
  <si>
    <t>Servicios por mes</t>
  </si>
  <si>
    <t>Porcentaje de cap.utilizada primer año</t>
  </si>
  <si>
    <t>de la capacidad instalada</t>
  </si>
  <si>
    <t>Incremento anual de la cap instalada</t>
  </si>
  <si>
    <t>de incremento anual</t>
  </si>
  <si>
    <t>Turnos de trabajo diario</t>
  </si>
  <si>
    <t>turnos de trabajo por día</t>
  </si>
  <si>
    <t>Días laborables por mes</t>
  </si>
  <si>
    <t>días laborables por mes</t>
  </si>
  <si>
    <t>Meses por año</t>
  </si>
  <si>
    <t>meses por año</t>
  </si>
  <si>
    <t>Días laborables por año</t>
  </si>
  <si>
    <t>días laborables por año</t>
  </si>
  <si>
    <t>en Intervenciones por mes</t>
  </si>
  <si>
    <t>intervenciones/mes</t>
  </si>
  <si>
    <t>en Intervenciones por año</t>
  </si>
  <si>
    <t>PRODUCCIÓN TOTAL (int/año)</t>
  </si>
  <si>
    <t>Capacidad utilizada neta (int/año)</t>
  </si>
  <si>
    <t>Primer Año</t>
  </si>
  <si>
    <t>Tercer Año</t>
  </si>
  <si>
    <t>Cuarto Año</t>
  </si>
  <si>
    <t>Quinto Año</t>
  </si>
  <si>
    <t>Cant.</t>
  </si>
  <si>
    <t>Total</t>
  </si>
  <si>
    <t>DESCRIPCIÓN</t>
  </si>
  <si>
    <t>Precio unitario</t>
  </si>
  <si>
    <t>N° de equipos</t>
  </si>
  <si>
    <t>Quirófano</t>
  </si>
  <si>
    <t>COSTO INFRAESTRUCTURA</t>
  </si>
  <si>
    <t>Infraestructura</t>
  </si>
  <si>
    <t>ACTIVOS FIJOS</t>
  </si>
  <si>
    <t>Equipos</t>
  </si>
  <si>
    <t>OTROS ACTIVOS</t>
  </si>
  <si>
    <t>Total Activos Fijos</t>
  </si>
  <si>
    <t>Total Otros activos</t>
  </si>
  <si>
    <t>Total Activos</t>
  </si>
  <si>
    <t>Capital de trabajo</t>
  </si>
  <si>
    <t>Inversión Total</t>
  </si>
  <si>
    <t>Aporte     Propio</t>
  </si>
  <si>
    <t>Aporte Terceros</t>
  </si>
  <si>
    <t>Aporte      Total</t>
  </si>
  <si>
    <t>INVERSIÓN TOTAL</t>
  </si>
  <si>
    <t>Adecuación (mts cuadrado)</t>
  </si>
  <si>
    <t>Adquisición de Infraestructura (mts cuadrado)</t>
  </si>
  <si>
    <t>TOTAL</t>
  </si>
  <si>
    <t>Cama quirúrgica</t>
  </si>
  <si>
    <t>Cama multiposicional eléctrica</t>
  </si>
  <si>
    <t>Camilla de traslado+equipo de traslado (Rolando)</t>
  </si>
  <si>
    <t>Paral de suero</t>
  </si>
  <si>
    <t>Escabel</t>
  </si>
  <si>
    <t>Sala de recuperación</t>
  </si>
  <si>
    <t xml:space="preserve">Lámpara cialítica </t>
  </si>
  <si>
    <t>Máquina de anestesia</t>
  </si>
  <si>
    <t>Mesas de intrumentación quirúrgica</t>
  </si>
  <si>
    <t>Mobiliario</t>
  </si>
  <si>
    <t>Sistemas de gases</t>
  </si>
  <si>
    <t>Sistema de succión y aspiración</t>
  </si>
  <si>
    <t>Equipos electro-bisturí</t>
  </si>
  <si>
    <t>Toma central de succión-aspiración</t>
  </si>
  <si>
    <t>Instrumental quirúrgico</t>
  </si>
  <si>
    <t>Lámparas auxiliares</t>
  </si>
  <si>
    <t>Aire acondicionado de flujo laminar</t>
  </si>
  <si>
    <t>Equipo de sellado vascular: ligasure+ultracisión</t>
  </si>
  <si>
    <t>Monitores no invasivos cardíacos</t>
  </si>
  <si>
    <t xml:space="preserve">COSTO DE LOS EQUIPOS </t>
  </si>
  <si>
    <t>*Sala de recuperación</t>
  </si>
  <si>
    <t>*Quirófano</t>
  </si>
  <si>
    <t>Precio unitario de infraestructura(Bsf./mt cuadrado)</t>
  </si>
  <si>
    <t>Precio unitario de adecuación(Bsf./mt cuadrado)</t>
  </si>
  <si>
    <t>DEPRECIACIÓN Y AMORTIZACIÓN</t>
  </si>
  <si>
    <t>Valor Activos (Bs.)</t>
  </si>
  <si>
    <t>Años de Dep/Am</t>
  </si>
  <si>
    <t>Primer   Año (Bs.)</t>
  </si>
  <si>
    <t>Segundo Año (Bs.)</t>
  </si>
  <si>
    <t>Tercer   Año (Bs.)</t>
  </si>
  <si>
    <t>Cuarto    Año (Bs.)</t>
  </si>
  <si>
    <t>Quinto     Año (Bs.)</t>
  </si>
  <si>
    <t>Total Depreciación</t>
  </si>
  <si>
    <t>Amortización</t>
  </si>
  <si>
    <t>Total Amortización</t>
  </si>
  <si>
    <t>TOTAL DEP. Y AMORT.</t>
  </si>
  <si>
    <t>Parámetros</t>
  </si>
  <si>
    <t xml:space="preserve">  El metodo de calculo utilizado es el de linea recta sin valor de salvamento</t>
  </si>
  <si>
    <t>tabla15</t>
  </si>
  <si>
    <t>Aporte propio: 30% del precio en el caso de los activos fijos</t>
  </si>
  <si>
    <t>Aporte terceros: 70% del precio en activos fijos debido a que es el máximo porcentaje que pudiera aprobar el banco</t>
  </si>
  <si>
    <t>Otro activos es costeado al 100% por la empresa</t>
  </si>
  <si>
    <t>Toda la inversión se realiza el primer año</t>
  </si>
  <si>
    <t>la sala de recuperación esta compuesta por 19 camas de recuperación, de donde provienen las cantidades</t>
  </si>
  <si>
    <t>El proyecto incluye habilitar solo 1 quirófano</t>
  </si>
  <si>
    <t>Quirófano estándar (mt cuadrado)</t>
  </si>
  <si>
    <t>N° de camillas</t>
  </si>
  <si>
    <t>DEPRECIACIÓN</t>
  </si>
  <si>
    <t>Sala de recuperación (mt cuadrado/cama)</t>
  </si>
  <si>
    <t>Faena limpia (mt cuadrado)</t>
  </si>
  <si>
    <t>Esterilizador (mt cuadrado)</t>
  </si>
  <si>
    <t>Sala de biopsias (mt cuadrado)</t>
  </si>
  <si>
    <t>Depósito de quirófano (mt cuadrado)</t>
  </si>
  <si>
    <t>Vestidor de médicos (mt cuadrado)</t>
  </si>
  <si>
    <t>Recepción (mt cuadrado)</t>
  </si>
  <si>
    <t>Administración y facturación (mt cuadrado)</t>
  </si>
  <si>
    <t>Archivo (mt cuadrado)</t>
  </si>
  <si>
    <t>Sala de estar de familiares (mt cuadrado)</t>
  </si>
  <si>
    <t>Sala de esparcimiento y juntas de médicos (mt cuadrado)</t>
  </si>
  <si>
    <t>Almacén (mt cuadrado)</t>
  </si>
  <si>
    <t>Oficina contable, presidencia, asistente (mt cuadrado)</t>
  </si>
  <si>
    <t>Administrativo</t>
  </si>
  <si>
    <t>Cocina (mt cuadrado)</t>
  </si>
  <si>
    <t>Vestuario de enfermeras (mt cuadrado)</t>
  </si>
  <si>
    <t>Lavandería (mt cuadrado)</t>
  </si>
  <si>
    <t>Basura (mt cuadrado)</t>
  </si>
  <si>
    <t>Puesto de Enfermeras (mt cuadrado)</t>
  </si>
  <si>
    <t>Proporción de aumento de pasillos</t>
  </si>
  <si>
    <t>Pasillos</t>
  </si>
  <si>
    <t>Pasillos (mt cuadrado)</t>
  </si>
  <si>
    <t>Proporción del aumento del espacio administrativo</t>
  </si>
  <si>
    <t>Proporción del aumento de espacio relacionado con la sala</t>
  </si>
  <si>
    <t>Proporción de aumento de cantidad de baños</t>
  </si>
  <si>
    <t>Baños</t>
  </si>
  <si>
    <t>Baños (cant)</t>
  </si>
  <si>
    <t>Baño (mt cuadrado)</t>
  </si>
  <si>
    <t>Asistencia Auditora</t>
  </si>
  <si>
    <t>Asistencia Legal</t>
  </si>
  <si>
    <t>FINANCIAMIENTO</t>
  </si>
  <si>
    <t>Comisión de compromiso</t>
  </si>
  <si>
    <t>Desembolsos del Banco</t>
  </si>
  <si>
    <t>Saldo de la cuenta de Capital</t>
  </si>
  <si>
    <t>Costo financiero del Crédito</t>
  </si>
  <si>
    <t>Porcentaje Semestral</t>
  </si>
  <si>
    <t>Balance     Inicial</t>
  </si>
  <si>
    <t>Balance       Final</t>
  </si>
  <si>
    <t>Comisión de Apertura</t>
  </si>
  <si>
    <t>Comisión de Compromiso</t>
  </si>
  <si>
    <t>Intereses Descontados</t>
  </si>
  <si>
    <t>Totales</t>
  </si>
  <si>
    <t>Costo Financ. del Crédito</t>
  </si>
  <si>
    <t>Pagos trimestrales de Amortización</t>
  </si>
  <si>
    <t>Pago                 Total</t>
  </si>
  <si>
    <t>Pago        Capital</t>
  </si>
  <si>
    <t>Pago                Intereses</t>
  </si>
  <si>
    <t>pago trimestral 1</t>
  </si>
  <si>
    <t>pago trimestral 2</t>
  </si>
  <si>
    <t>pago trimestral 3</t>
  </si>
  <si>
    <t>pago trimestral 4</t>
  </si>
  <si>
    <t>pago trimestral 5</t>
  </si>
  <si>
    <t>pago trimestral 6</t>
  </si>
  <si>
    <t>pago trimestral 7</t>
  </si>
  <si>
    <t>pago trimestral 8</t>
  </si>
  <si>
    <t>TOTALES</t>
  </si>
  <si>
    <t>ANUALIZACIÓN DE LOS PAGOS TRIMESTRALES DE AMORTIZACIÓN</t>
  </si>
  <si>
    <t>Año</t>
  </si>
  <si>
    <t>Pago                total</t>
  </si>
  <si>
    <t>Trimestres 1, 2,3 y 4</t>
  </si>
  <si>
    <t>Trimestres 5,6,7 y 8</t>
  </si>
  <si>
    <t>FASE I: CONSTRUCCIÓN - PERIODO DE RECEPCIÓN DEL CRÉDITO</t>
  </si>
  <si>
    <t>FASE II: OPERACIÓN - PERIODO DE DEVOLUCIÓN DEL CRÉDITO</t>
  </si>
  <si>
    <t>Comisión de apertura</t>
  </si>
  <si>
    <t>pago trimestral 9</t>
  </si>
  <si>
    <t>pago trimestral 10</t>
  </si>
  <si>
    <t>pago trimestral 11</t>
  </si>
  <si>
    <t>pago trimestral 12</t>
  </si>
  <si>
    <t>pago trimestral 13</t>
  </si>
  <si>
    <t>pago trimestral 14</t>
  </si>
  <si>
    <t>pago trimestral 15</t>
  </si>
  <si>
    <t>pago trimestral 16</t>
  </si>
  <si>
    <t>pago trimestral 17</t>
  </si>
  <si>
    <t>pago trimestral 18</t>
  </si>
  <si>
    <t>pago trimestral 19</t>
  </si>
  <si>
    <t>pago trimestral 20</t>
  </si>
  <si>
    <t>Tasa de interés anual nominal</t>
  </si>
  <si>
    <t>Tasa de interés trimestral efectiva</t>
  </si>
  <si>
    <t>Trimestre</t>
  </si>
  <si>
    <t>Entrega primer y segundo trimestre</t>
  </si>
  <si>
    <t>Entrega tercer y cuarto trimestre</t>
  </si>
  <si>
    <t>Monto del crédito (BsF.)</t>
  </si>
  <si>
    <t>Período de vigencia del crédito (trimestres)</t>
  </si>
  <si>
    <t>Período de gracia (trimestres)</t>
  </si>
  <si>
    <t>Período de amortización (trimestres)</t>
  </si>
  <si>
    <t>Pago periódico de amortización (BsF/trimestre)</t>
  </si>
  <si>
    <t>Trimestres 9,10,11 y 12</t>
  </si>
  <si>
    <t>Trimestres 13,14,15 y 16</t>
  </si>
  <si>
    <t>Trimestres 17,18,19 y 20</t>
  </si>
  <si>
    <t>Costo Mensual (Bs.)</t>
  </si>
  <si>
    <t>Código</t>
  </si>
  <si>
    <t>Descripción</t>
  </si>
  <si>
    <t>F/V</t>
  </si>
  <si>
    <t>No.</t>
  </si>
  <si>
    <t>Básico</t>
  </si>
  <si>
    <t>Costo Total Anual (Bs.)</t>
  </si>
  <si>
    <t>F</t>
  </si>
  <si>
    <t>V</t>
  </si>
  <si>
    <t>Gerentes y Directivos</t>
  </si>
  <si>
    <t>Empleados Comunes</t>
  </si>
  <si>
    <t>Personal Técnico</t>
  </si>
  <si>
    <t>Obreros No Especializados</t>
  </si>
  <si>
    <t>Empleados Fijos</t>
  </si>
  <si>
    <t>Empleados Variables</t>
  </si>
  <si>
    <t>Incremento Anual</t>
  </si>
  <si>
    <t>sobre el sueldo básico del Año anterior</t>
  </si>
  <si>
    <t>Administrador</t>
  </si>
  <si>
    <t>Coordinador de Enfermería</t>
  </si>
  <si>
    <t>Director administrativo</t>
  </si>
  <si>
    <t>Director Médico</t>
  </si>
  <si>
    <t>Asistente Administrativo</t>
  </si>
  <si>
    <t>Intrumentista</t>
  </si>
  <si>
    <t>Cajera</t>
  </si>
  <si>
    <t>Coordinadora de Facturación y Cobranza</t>
  </si>
  <si>
    <t>Contador</t>
  </si>
  <si>
    <t>Coordinadora de Compras e Inventario</t>
  </si>
  <si>
    <t>Coordinador de Mantenimiento</t>
  </si>
  <si>
    <t>Asistente de Admisión y Egresos</t>
  </si>
  <si>
    <t>Asistente de inventario</t>
  </si>
  <si>
    <t xml:space="preserve">Camarera </t>
  </si>
  <si>
    <t>Rayos X</t>
  </si>
  <si>
    <t>Recepción e ingresos</t>
  </si>
  <si>
    <t>Asistente de Mantenimiento</t>
  </si>
  <si>
    <t>Presidente</t>
  </si>
  <si>
    <t>COSTO DEL SERVICIO</t>
  </si>
  <si>
    <t>INGRESOS POR VENTAS</t>
  </si>
  <si>
    <t>COSTO UNITARIO POR INTERVENCIÓN (BsF./int)</t>
  </si>
  <si>
    <t>COSTO TOTAL DE INTERVENCIÓN (BsF.)</t>
  </si>
  <si>
    <t>INGRESOS POR VENTAS (BsF./intervención)</t>
  </si>
  <si>
    <t>INGRESOS TOTALES POR VENTAS (BsF.)</t>
  </si>
  <si>
    <t>GASTOS DE OPERACIÓN</t>
  </si>
  <si>
    <t xml:space="preserve">PRODUCCIÓN TOTAL </t>
  </si>
  <si>
    <t>TOTAL GASTOS FIJOS Y VARIABLES</t>
  </si>
  <si>
    <t xml:space="preserve">  Meses por año</t>
  </si>
  <si>
    <t xml:space="preserve">  Porcentaje de gastos fijos</t>
  </si>
  <si>
    <t>del total de gastos por renglón</t>
  </si>
  <si>
    <t xml:space="preserve">  Porcentaje de gastos variables</t>
  </si>
  <si>
    <t>Estudio de Factibilidad del proyecto</t>
  </si>
  <si>
    <t>Equipo de laparoscopia</t>
  </si>
  <si>
    <t>incidencias de costos por parte de obra</t>
  </si>
  <si>
    <t>según SOITAVE</t>
  </si>
  <si>
    <t>Costos asociados al salario</t>
  </si>
  <si>
    <t>Total salario integral</t>
  </si>
  <si>
    <t>Gastos de financiamiento estan representados unicamente por intereses</t>
  </si>
  <si>
    <t>Área administrativa</t>
  </si>
  <si>
    <t xml:space="preserve">del costo mensual </t>
  </si>
  <si>
    <t>Pasantes</t>
  </si>
  <si>
    <t>Meses de contrato a pasantes</t>
  </si>
  <si>
    <t>Equipos (computadora, fotocopiadora, impresora, etc)</t>
  </si>
  <si>
    <t>Aspirador</t>
  </si>
  <si>
    <t>Cama ginecológica</t>
  </si>
  <si>
    <t>Jefe de Cobranzas</t>
  </si>
  <si>
    <t>Jefe de Relaciones Interinstitucionales</t>
  </si>
  <si>
    <t>Jefe de Compras</t>
  </si>
  <si>
    <t>Enfermera Circulante diurno</t>
  </si>
  <si>
    <t>Enfermera Circulante turno mixto</t>
  </si>
  <si>
    <t>Recepción e ingresos + Rayos X</t>
  </si>
  <si>
    <t>La cantidad de intrumentistas aumenta en 1 unidad porque corresponde una por quirófano</t>
  </si>
  <si>
    <t>La cantidad de asistentes administrativos aumenta en 1 unidad</t>
  </si>
  <si>
    <t>La cantidad de Enfermeras Circulantes diurno aumenta en 7 unidades</t>
  </si>
  <si>
    <t>La cantidad de Enfermeras Circulantes mixto aumenta en 5 unidades</t>
  </si>
  <si>
    <t>La cantidad de cajeras aumenta en 1 unidad</t>
  </si>
  <si>
    <t>La cantidad de asistentes de mantenimiento aumenta en 2 unidades</t>
  </si>
  <si>
    <t>La cantidad de Asistente de admisión y egresos aumenta en 2 unidades</t>
  </si>
  <si>
    <t>La cantidad de asistente de inventario aumenta en 1 unidad</t>
  </si>
  <si>
    <t>La cantidad de camareras aumenta en 8 unidades</t>
  </si>
  <si>
    <t xml:space="preserve">Se desglosaría las dos tareas (Recepción e ingresos + Rayos X) que ejerce un personal en la actualidad </t>
  </si>
  <si>
    <t>Se considera el sueldo minímo</t>
  </si>
  <si>
    <t xml:space="preserve">BsF </t>
  </si>
  <si>
    <t>En el caso del cálculo del salario básico de la recepcionista sería el sueldo mínimo màs el incremento anual</t>
  </si>
  <si>
    <t>Las cantidades de personal se mantiene constante a partir del segundo año debido a que el incremento del volumen ocupacional se da en el segundo año para cubrir el 100% de la capacidad instalada</t>
  </si>
  <si>
    <t>VOLUMEN DE OCUPACIÓN                                                                                                                                                                                           (SEGUNDO AÑO)</t>
  </si>
  <si>
    <t>VOLUMEN DE OCUPACIÓN                                                                                                                                                                                           (TERCER AÑO)</t>
  </si>
  <si>
    <t>VOLUMEN DE OCUPACIÓN                                                                                                                                                                                           (CUARTO AÑO)</t>
  </si>
  <si>
    <t>VOLUMEN DE OCUPACIÓN                                                                                                                                                                                                  (total BsF.)</t>
  </si>
  <si>
    <t>Año 1</t>
  </si>
  <si>
    <t>Año 2</t>
  </si>
  <si>
    <t>Año 3</t>
  </si>
  <si>
    <t>Año 4</t>
  </si>
  <si>
    <t>Año 5</t>
  </si>
  <si>
    <t>Costo Básico Anual</t>
  </si>
  <si>
    <t>Fijo</t>
  </si>
  <si>
    <t>Variable</t>
  </si>
  <si>
    <t>Total Costo Básico Anual</t>
  </si>
  <si>
    <t>Salario Integral</t>
  </si>
  <si>
    <t xml:space="preserve">Fijo </t>
  </si>
  <si>
    <t xml:space="preserve">Costo Total Anual </t>
  </si>
  <si>
    <t>Total Básico</t>
  </si>
  <si>
    <t>Meses del año</t>
  </si>
  <si>
    <t>Porcentaje de costos asociados al salario</t>
  </si>
  <si>
    <t>Meses del contrato de pasantes</t>
  </si>
  <si>
    <t>Total Básico mensual</t>
  </si>
  <si>
    <t>Total salario integral mensual</t>
  </si>
  <si>
    <t>Total mensual</t>
  </si>
  <si>
    <t>VOLUMEN DE OCUPACIÓN                                                                                                                                                                                                       (PRIMER AÑO)</t>
  </si>
  <si>
    <t>Camas de retén</t>
  </si>
  <si>
    <t>Mobiliarios (escritorio, silla, archivador)</t>
  </si>
  <si>
    <t>*Área administrativa</t>
  </si>
  <si>
    <t>Primer           Año</t>
  </si>
  <si>
    <t>Tercer            Año</t>
  </si>
  <si>
    <t>Cuarto           Año</t>
  </si>
  <si>
    <t>Quinto          Año</t>
  </si>
  <si>
    <t>Impuesto sobre la renta</t>
  </si>
  <si>
    <t>TABLA DEL CALCULO DEL ISLR</t>
  </si>
  <si>
    <t>Base Impositiva</t>
  </si>
  <si>
    <t>Tasa a Pagar</t>
  </si>
  <si>
    <t>Deducible</t>
  </si>
  <si>
    <t>Hasta 2.000 unidades tributarias</t>
  </si>
  <si>
    <t>Entre 2.001 y 3.000 unid. tributarias</t>
  </si>
  <si>
    <t>Sobre 3.001 unidades tributarias</t>
  </si>
  <si>
    <t>Valor de la unidad tributaria</t>
  </si>
  <si>
    <t>ESTADO DE RESULTADOS                                                                                                                                                                                             (valores totales)</t>
  </si>
  <si>
    <t>Incremento por inflación</t>
  </si>
  <si>
    <t>Anual</t>
  </si>
  <si>
    <t>Gastos Variables</t>
  </si>
  <si>
    <t xml:space="preserve">UTILIDAD ANTES DEL ISLR </t>
  </si>
  <si>
    <t xml:space="preserve">UTILIDAD NETA </t>
  </si>
  <si>
    <t xml:space="preserve">Gastos clínicos </t>
  </si>
  <si>
    <t xml:space="preserve">Laboratorio </t>
  </si>
  <si>
    <t xml:space="preserve">Materiales de Rayos X </t>
  </si>
  <si>
    <t xml:space="preserve">Instrumental </t>
  </si>
  <si>
    <t xml:space="preserve">Material Laparoscópico </t>
  </si>
  <si>
    <t>ESTRUCTURA DEL VALOR DE LA PRODUCCIÓN</t>
  </si>
  <si>
    <t>Primer        Año</t>
  </si>
  <si>
    <t>Segundo         Año</t>
  </si>
  <si>
    <t>Tercer             Año</t>
  </si>
  <si>
    <t>Cuarto            Año</t>
  </si>
  <si>
    <t>Quinto             Año</t>
  </si>
  <si>
    <t>Insumos</t>
  </si>
  <si>
    <t>(Bs.)</t>
  </si>
  <si>
    <t>A</t>
  </si>
  <si>
    <t>TOTAL INSUMOS</t>
  </si>
  <si>
    <t>Valor Agregado</t>
  </si>
  <si>
    <t xml:space="preserve">  Utilidad Neta</t>
  </si>
  <si>
    <t xml:space="preserve">  Impuesto sobre la renta</t>
  </si>
  <si>
    <t>B</t>
  </si>
  <si>
    <t>TOTAL VALOR AGREGADO</t>
  </si>
  <si>
    <t>C</t>
  </si>
  <si>
    <t>D</t>
  </si>
  <si>
    <t>Depreciación y amortización</t>
  </si>
  <si>
    <t xml:space="preserve">E </t>
  </si>
  <si>
    <t>INGRESOS POR VENTAS (C+D)</t>
  </si>
  <si>
    <t>APORTE AL PIB (B/C)</t>
  </si>
  <si>
    <t>Parametros</t>
  </si>
  <si>
    <t xml:space="preserve">  Ingreso por ventas</t>
  </si>
  <si>
    <t>PRODUCCIÓN TOTAL (Intervenciones)</t>
  </si>
  <si>
    <t xml:space="preserve">VALOR DE LA PRODUCCIÓN </t>
  </si>
  <si>
    <t>PUNTO DE EQUILIBRIO</t>
  </si>
  <si>
    <t>Segundo        Año</t>
  </si>
  <si>
    <t>Costos Fijos</t>
  </si>
  <si>
    <t xml:space="preserve">  Volumen de ocupación</t>
  </si>
  <si>
    <t xml:space="preserve">  Gastos de operación</t>
  </si>
  <si>
    <t xml:space="preserve">  Intereses crediticios</t>
  </si>
  <si>
    <t xml:space="preserve">  Depreciación y amortización</t>
  </si>
  <si>
    <t>TOTAL COSTOS FIJOS</t>
  </si>
  <si>
    <t>Costos variables</t>
  </si>
  <si>
    <t>TOTAL COSTOS VARIABLES</t>
  </si>
  <si>
    <t>TOTAL COSTOS FIJOS Y  VARIABLES</t>
  </si>
  <si>
    <t xml:space="preserve">  Utilidad neta</t>
  </si>
  <si>
    <t>Punto de Equilibrio por año</t>
  </si>
  <si>
    <t xml:space="preserve">  Expresado en:</t>
  </si>
  <si>
    <t xml:space="preserve">    Porcentaje</t>
  </si>
  <si>
    <t xml:space="preserve">    Volumen de producción</t>
  </si>
  <si>
    <t xml:space="preserve">    Ingresos por ventas</t>
  </si>
  <si>
    <t xml:space="preserve">    Meses por año</t>
  </si>
  <si>
    <t xml:space="preserve">    Días hábiles por año</t>
  </si>
  <si>
    <t>Punto de Equilibrio promedio</t>
  </si>
  <si>
    <t>del 100% de cualquier variable</t>
  </si>
  <si>
    <t xml:space="preserve">  Ingresos por ventas</t>
  </si>
  <si>
    <t xml:space="preserve">  Días laborables por año</t>
  </si>
  <si>
    <t>COSTO TOTAL DE INTERVENCIÓN</t>
  </si>
  <si>
    <t>Costos total de intervención</t>
  </si>
  <si>
    <t>Gastos de intervención</t>
  </si>
  <si>
    <t xml:space="preserve">  Costo total de intervención</t>
  </si>
  <si>
    <t>TOTAL GASTOS VARIABLES</t>
  </si>
  <si>
    <t>TOTAL GASTOS FIJOS</t>
  </si>
  <si>
    <t>BsF. de ingresos por ventas</t>
  </si>
  <si>
    <t>meses de operación en el año</t>
  </si>
  <si>
    <t>días laborables de operación en el año</t>
  </si>
  <si>
    <t>dpto</t>
  </si>
  <si>
    <t>integrantes</t>
  </si>
  <si>
    <t>total quincena</t>
  </si>
  <si>
    <t>total mes</t>
  </si>
  <si>
    <t>total año</t>
  </si>
  <si>
    <t>administrativo</t>
  </si>
  <si>
    <t>enfermeria</t>
  </si>
  <si>
    <t>servicios medicos</t>
  </si>
  <si>
    <t>mantenimiento</t>
  </si>
  <si>
    <t>junta directiva</t>
  </si>
  <si>
    <t>pasantes</t>
  </si>
  <si>
    <t>TOTAL ASIGNACIONES</t>
  </si>
  <si>
    <t>total último</t>
  </si>
  <si>
    <t>TOTAL DEDUCCIONES</t>
  </si>
  <si>
    <t>ORIGEN Y APLICACIÓN DE FONDOS - FLUJO ANUAL</t>
  </si>
  <si>
    <t>Segundo     Año</t>
  </si>
  <si>
    <t>Tercer         Año</t>
  </si>
  <si>
    <t>Origen de Fondos</t>
  </si>
  <si>
    <t xml:space="preserve">  Aporte propio en activos</t>
  </si>
  <si>
    <t xml:space="preserve">  Aporte de terceros en activos</t>
  </si>
  <si>
    <t xml:space="preserve">  Capital de trabajo</t>
  </si>
  <si>
    <t>INGRESOS TOTALES</t>
  </si>
  <si>
    <t>Aplicación de Fondos</t>
  </si>
  <si>
    <t xml:space="preserve">  Inversión total en activos</t>
  </si>
  <si>
    <t xml:space="preserve">  Costo por Servicio</t>
  </si>
  <si>
    <t xml:space="preserve">  Amortización de intereses</t>
  </si>
  <si>
    <t xml:space="preserve">  Amortización de capital</t>
  </si>
  <si>
    <t>EGRESOS TOTALES</t>
  </si>
  <si>
    <t>SALDO DE CAJA</t>
  </si>
  <si>
    <t>SALDO DE CAJA ACUMULADO</t>
  </si>
  <si>
    <t>ORIGEN Y APLICACIÓN DE FONDOS -FLUJO MENSUAL DEL PRIMER AÑO</t>
  </si>
  <si>
    <t xml:space="preserve"> </t>
  </si>
  <si>
    <t>Mes                 Uno</t>
  </si>
  <si>
    <t>Mes                 Dos</t>
  </si>
  <si>
    <t>Mes                Tres</t>
  </si>
  <si>
    <t>Mes             Cuatro</t>
  </si>
  <si>
    <t>Mes             Cinco</t>
  </si>
  <si>
    <t>Mes               Seis</t>
  </si>
  <si>
    <t>Mes             Siete</t>
  </si>
  <si>
    <t>Mes            Ocho</t>
  </si>
  <si>
    <t>Mes             Nueve</t>
  </si>
  <si>
    <t>Mes             Diez</t>
  </si>
  <si>
    <t>Mes             Once</t>
  </si>
  <si>
    <t>Mes             Doce</t>
  </si>
  <si>
    <t>Total                      Año</t>
  </si>
  <si>
    <t xml:space="preserve">  Gastos de Operación</t>
  </si>
  <si>
    <t>Valor mínimo de la serie</t>
  </si>
  <si>
    <t>Pärámetros</t>
  </si>
  <si>
    <t>las ventas se cobran entre 60 y 90 días despues de su facturación</t>
  </si>
  <si>
    <t xml:space="preserve">  Materia prima</t>
  </si>
  <si>
    <t>los costos de materia prima se pagan sobre mes vencido</t>
  </si>
  <si>
    <t xml:space="preserve">  Gastos de fabricación</t>
  </si>
  <si>
    <t>los gastos de fabricación se pagan sobre mes vencido</t>
  </si>
  <si>
    <t>(BsF.)</t>
  </si>
  <si>
    <t>RENTABILIDAD DE LA INVERSIÓN</t>
  </si>
  <si>
    <t>Cuarto       Año</t>
  </si>
  <si>
    <t>Inversión Realizada</t>
  </si>
  <si>
    <t xml:space="preserve">  Inversión Propia</t>
  </si>
  <si>
    <t xml:space="preserve">  Saldo Neto de Caja</t>
  </si>
  <si>
    <t>INVERSIÓN PROPIA</t>
  </si>
  <si>
    <t xml:space="preserve">  Valor Presente Neto</t>
  </si>
  <si>
    <t xml:space="preserve">  Tasa Interna de Retorno</t>
  </si>
  <si>
    <t>Tasa de interés activa nominal</t>
  </si>
  <si>
    <t>Tasa de interés pasiva nominal</t>
  </si>
  <si>
    <t>Aporte propio</t>
  </si>
  <si>
    <t>Aporte terceros</t>
  </si>
  <si>
    <t>TCC</t>
  </si>
  <si>
    <t>Incremento anual del ingreso por ventas</t>
  </si>
  <si>
    <t xml:space="preserve">    Volumen de intervenciones</t>
  </si>
  <si>
    <t>intervenciones</t>
  </si>
  <si>
    <t>Flujo Neto de Fondos</t>
  </si>
  <si>
    <t xml:space="preserve">  Inversión Propia </t>
  </si>
  <si>
    <t>RENTABILIDAD DEL PROMOTOR</t>
  </si>
  <si>
    <t>RENTABILIDAD DE LA EMPRESA</t>
  </si>
  <si>
    <t xml:space="preserve">  Inversión Total</t>
  </si>
  <si>
    <t>Costo de capital</t>
  </si>
  <si>
    <t>Distribución porcentual</t>
  </si>
  <si>
    <t>Costo financiero del crédito</t>
  </si>
  <si>
    <t>Monto entregado</t>
  </si>
  <si>
    <t>Primer              Año</t>
  </si>
  <si>
    <t>Tercer              Año</t>
  </si>
  <si>
    <t>Cuarto             Año</t>
  </si>
  <si>
    <t>Quinto            Año</t>
  </si>
  <si>
    <t>Primer                                      Año</t>
  </si>
  <si>
    <t>Segundo    Año</t>
  </si>
  <si>
    <t>Promedio del aporte al PIB</t>
  </si>
  <si>
    <t xml:space="preserve">El precio de venta tomado para el primer año corresponde al promedio anual por intervención según datos históricos suministrados por la clínica </t>
  </si>
  <si>
    <t>El punto de equilibrio se alcanza el mes 12 del primer año debido al volumen de producción</t>
  </si>
  <si>
    <t>GASTOS DE FINANCIAMIENTO</t>
  </si>
  <si>
    <t>Gastos de oficina</t>
  </si>
  <si>
    <t>Gastos de mantenimiento</t>
  </si>
  <si>
    <t>Otros gastos (electricidad, agua, telefóno, cable TV)</t>
  </si>
  <si>
    <t>Gastos de alquiler y patente</t>
  </si>
</sst>
</file>

<file path=xl/styles.xml><?xml version="1.0" encoding="utf-8"?>
<styleSheet xmlns="http://schemas.openxmlformats.org/spreadsheetml/2006/main">
  <numFmts count="4">
    <numFmt numFmtId="164" formatCode="&quot;Bs&quot;\ #,##0.00;[Red]&quot;Bs&quot;\ \-#,##0.00"/>
    <numFmt numFmtId="165" formatCode="[$$-409]#,##0.00"/>
    <numFmt numFmtId="166" formatCode="#,##0;[Red]#,##0"/>
    <numFmt numFmtId="167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22"/>
      <name val="Times New Roman"/>
      <family val="1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NumberFormat="0" applyFill="0" applyBorder="0" applyAlignment="0" applyProtection="0"/>
    <xf numFmtId="167" fontId="1" fillId="0" borderId="0" applyNumberFormat="0" applyFill="0" applyBorder="0" applyAlignment="0" applyProtection="0"/>
    <xf numFmtId="167" fontId="1" fillId="0" borderId="0" applyNumberFormat="0" applyFill="0" applyBorder="0" applyAlignment="0" applyProtection="0"/>
    <xf numFmtId="167" fontId="1" fillId="0" borderId="0" applyNumberFormat="0" applyFill="0" applyBorder="0" applyAlignment="0" applyProtection="0"/>
    <xf numFmtId="167" fontId="1" fillId="0" borderId="0" applyNumberFormat="0" applyFill="0" applyBorder="0" applyAlignment="0" applyProtection="0"/>
    <xf numFmtId="0" fontId="17" fillId="0" borderId="0"/>
  </cellStyleXfs>
  <cellXfs count="312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9" fontId="4" fillId="0" borderId="0" xfId="1" applyNumberFormat="1" applyFont="1"/>
    <xf numFmtId="3" fontId="4" fillId="0" borderId="0" xfId="1" applyNumberFormat="1" applyFont="1"/>
    <xf numFmtId="0" fontId="3" fillId="0" borderId="2" xfId="1" applyFont="1" applyBorder="1" applyAlignment="1">
      <alignment horizontal="centerContinuous" vertical="center" wrapText="1"/>
    </xf>
    <xf numFmtId="0" fontId="3" fillId="0" borderId="2" xfId="1" applyFont="1" applyBorder="1"/>
    <xf numFmtId="0" fontId="3" fillId="0" borderId="2" xfId="1" applyFont="1" applyBorder="1" applyAlignment="1">
      <alignment horizontal="center" vertical="center"/>
    </xf>
    <xf numFmtId="0" fontId="4" fillId="0" borderId="2" xfId="1" applyFont="1" applyBorder="1"/>
    <xf numFmtId="9" fontId="4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3" xfId="1" applyFont="1" applyBorder="1"/>
    <xf numFmtId="0" fontId="3" fillId="0" borderId="4" xfId="1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4" fillId="0" borderId="0" xfId="1" applyNumberFormat="1" applyFont="1"/>
    <xf numFmtId="0" fontId="3" fillId="0" borderId="2" xfId="1" applyFont="1" applyBorder="1" applyAlignment="1">
      <alignment horizontal="center" vertical="center" wrapText="1"/>
    </xf>
    <xf numFmtId="9" fontId="4" fillId="0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7" fillId="0" borderId="0" xfId="0" applyFont="1"/>
    <xf numFmtId="0" fontId="6" fillId="0" borderId="0" xfId="0" applyFont="1"/>
    <xf numFmtId="10" fontId="6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9" fontId="4" fillId="0" borderId="0" xfId="3" applyFont="1"/>
    <xf numFmtId="166" fontId="4" fillId="0" borderId="0" xfId="3" applyNumberFormat="1" applyFont="1"/>
    <xf numFmtId="0" fontId="3" fillId="0" borderId="0" xfId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center"/>
    </xf>
    <xf numFmtId="0" fontId="13" fillId="0" borderId="0" xfId="2" applyFont="1"/>
    <xf numFmtId="0" fontId="6" fillId="0" borderId="0" xfId="2"/>
    <xf numFmtId="0" fontId="6" fillId="0" borderId="0" xfId="2" applyAlignment="1">
      <alignment horizontal="center"/>
    </xf>
    <xf numFmtId="0" fontId="12" fillId="0" borderId="0" xfId="2" applyFont="1" applyAlignment="1">
      <alignment wrapText="1"/>
    </xf>
    <xf numFmtId="3" fontId="12" fillId="0" borderId="0" xfId="2" applyNumberFormat="1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wrapText="1"/>
    </xf>
    <xf numFmtId="0" fontId="3" fillId="0" borderId="0" xfId="2" applyFont="1"/>
    <xf numFmtId="2" fontId="3" fillId="0" borderId="2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2" xfId="1" applyFont="1" applyFill="1" applyBorder="1" applyAlignment="1">
      <alignment horizontal="left" vertical="center" wrapText="1"/>
    </xf>
    <xf numFmtId="0" fontId="9" fillId="4" borderId="2" xfId="0" applyFont="1" applyFill="1" applyBorder="1"/>
    <xf numFmtId="0" fontId="3" fillId="0" borderId="2" xfId="2" applyFont="1" applyBorder="1"/>
    <xf numFmtId="0" fontId="14" fillId="0" borderId="2" xfId="2" applyFont="1" applyBorder="1" applyAlignment="1">
      <alignment horizontal="center"/>
    </xf>
    <xf numFmtId="3" fontId="3" fillId="0" borderId="2" xfId="2" applyNumberFormat="1" applyFont="1" applyBorder="1"/>
    <xf numFmtId="3" fontId="4" fillId="0" borderId="2" xfId="2" applyNumberFormat="1" applyFont="1" applyBorder="1"/>
    <xf numFmtId="0" fontId="3" fillId="0" borderId="3" xfId="2" applyFont="1" applyBorder="1"/>
    <xf numFmtId="0" fontId="3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166" fontId="4" fillId="0" borderId="8" xfId="0" applyNumberFormat="1" applyFont="1" applyBorder="1"/>
    <xf numFmtId="0" fontId="4" fillId="0" borderId="13" xfId="1" applyFont="1" applyBorder="1"/>
    <xf numFmtId="0" fontId="4" fillId="0" borderId="0" xfId="1" applyFont="1" applyBorder="1"/>
    <xf numFmtId="0" fontId="4" fillId="0" borderId="14" xfId="1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10" xfId="0" applyFont="1" applyBorder="1"/>
    <xf numFmtId="0" fontId="4" fillId="0" borderId="0" xfId="1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5" fontId="4" fillId="0" borderId="13" xfId="0" applyNumberFormat="1" applyFont="1" applyBorder="1"/>
    <xf numFmtId="165" fontId="4" fillId="0" borderId="0" xfId="0" applyNumberFormat="1" applyFont="1" applyBorder="1"/>
    <xf numFmtId="166" fontId="4" fillId="0" borderId="14" xfId="0" applyNumberFormat="1" applyFont="1" applyBorder="1"/>
    <xf numFmtId="0" fontId="4" fillId="0" borderId="0" xfId="0" applyFont="1" applyBorder="1"/>
    <xf numFmtId="0" fontId="4" fillId="0" borderId="13" xfId="0" applyFont="1" applyBorder="1"/>
    <xf numFmtId="166" fontId="4" fillId="0" borderId="14" xfId="3" applyNumberFormat="1" applyFont="1" applyBorder="1"/>
    <xf numFmtId="2" fontId="4" fillId="0" borderId="14" xfId="3" applyNumberFormat="1" applyFont="1" applyBorder="1"/>
    <xf numFmtId="2" fontId="2" fillId="0" borderId="14" xfId="0" applyNumberFormat="1" applyFont="1" applyBorder="1"/>
    <xf numFmtId="2" fontId="2" fillId="0" borderId="10" xfId="0" applyNumberFormat="1" applyFont="1" applyBorder="1"/>
    <xf numFmtId="0" fontId="1" fillId="0" borderId="0" xfId="1"/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5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/>
    <xf numFmtId="10" fontId="3" fillId="0" borderId="0" xfId="1" applyNumberFormat="1" applyFont="1" applyBorder="1"/>
    <xf numFmtId="4" fontId="3" fillId="0" borderId="0" xfId="1" applyNumberFormat="1" applyFont="1" applyBorder="1"/>
    <xf numFmtId="0" fontId="4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4" fontId="4" fillId="0" borderId="2" xfId="1" applyNumberFormat="1" applyFont="1" applyBorder="1"/>
    <xf numFmtId="10" fontId="4" fillId="0" borderId="0" xfId="1" applyNumberFormat="1" applyFont="1" applyBorder="1"/>
    <xf numFmtId="4" fontId="4" fillId="0" borderId="0" xfId="1" applyNumberFormat="1" applyFont="1" applyBorder="1"/>
    <xf numFmtId="0" fontId="3" fillId="0" borderId="0" xfId="1" applyFont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0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9" fillId="0" borderId="0" xfId="1" applyFont="1" applyFill="1" applyBorder="1" applyAlignment="1">
      <alignment vertical="center"/>
    </xf>
    <xf numFmtId="164" fontId="4" fillId="0" borderId="0" xfId="1" applyNumberFormat="1" applyFont="1"/>
    <xf numFmtId="0" fontId="13" fillId="0" borderId="0" xfId="1" applyFont="1"/>
    <xf numFmtId="3" fontId="3" fillId="0" borderId="2" xfId="1" applyNumberFormat="1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  <xf numFmtId="9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0" fontId="4" fillId="0" borderId="0" xfId="1" applyNumberFormat="1" applyFont="1" applyAlignment="1">
      <alignment horizontal="left"/>
    </xf>
    <xf numFmtId="9" fontId="2" fillId="0" borderId="0" xfId="0" applyNumberFormat="1" applyFont="1" applyAlignment="1">
      <alignment horizontal="left" vertical="center"/>
    </xf>
    <xf numFmtId="1" fontId="4" fillId="0" borderId="2" xfId="1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0" borderId="0" xfId="1" applyFont="1" applyAlignment="1">
      <alignment horizontal="left" vertical="top"/>
    </xf>
    <xf numFmtId="0" fontId="3" fillId="0" borderId="2" xfId="1" applyFont="1" applyBorder="1" applyAlignment="1">
      <alignment horizontal="center" wrapText="1"/>
    </xf>
    <xf numFmtId="3" fontId="4" fillId="0" borderId="0" xfId="1" applyNumberFormat="1" applyFont="1" applyAlignment="1">
      <alignment horizontal="left" vertical="top"/>
    </xf>
    <xf numFmtId="10" fontId="4" fillId="0" borderId="0" xfId="1" applyNumberFormat="1" applyFont="1" applyAlignment="1">
      <alignment horizontal="left" vertical="top"/>
    </xf>
    <xf numFmtId="0" fontId="3" fillId="0" borderId="0" xfId="1" applyFont="1" applyBorder="1"/>
    <xf numFmtId="0" fontId="4" fillId="0" borderId="0" xfId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0" fontId="1" fillId="0" borderId="0" xfId="1" applyFont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2" xfId="0" applyFont="1" applyBorder="1"/>
    <xf numFmtId="0" fontId="0" fillId="0" borderId="2" xfId="0" applyBorder="1"/>
    <xf numFmtId="4" fontId="4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4" fontId="3" fillId="4" borderId="4" xfId="1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 wrapText="1"/>
    </xf>
    <xf numFmtId="4" fontId="4" fillId="0" borderId="11" xfId="1" applyNumberFormat="1" applyFont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horizontal="center" vertical="center" wrapText="1"/>
    </xf>
    <xf numFmtId="4" fontId="3" fillId="4" borderId="3" xfId="1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4" fillId="0" borderId="2" xfId="2" applyNumberFormat="1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wrapText="1"/>
    </xf>
    <xf numFmtId="4" fontId="14" fillId="0" borderId="2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4" fontId="4" fillId="0" borderId="2" xfId="2" applyNumberFormat="1" applyFont="1" applyBorder="1"/>
    <xf numFmtId="4" fontId="12" fillId="0" borderId="0" xfId="2" applyNumberFormat="1" applyFont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center" wrapText="1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3" fillId="0" borderId="0" xfId="1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 applyAlignment="1"/>
    <xf numFmtId="3" fontId="3" fillId="0" borderId="0" xfId="0" applyNumberFormat="1" applyFont="1" applyBorder="1"/>
    <xf numFmtId="0" fontId="3" fillId="0" borderId="2" xfId="0" applyFon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0" fontId="2" fillId="0" borderId="2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left"/>
    </xf>
    <xf numFmtId="9" fontId="0" fillId="0" borderId="0" xfId="0" applyNumberFormat="1"/>
    <xf numFmtId="4" fontId="2" fillId="0" borderId="4" xfId="0" applyNumberFormat="1" applyFont="1" applyBorder="1" applyAlignment="1">
      <alignment horizontal="center"/>
    </xf>
    <xf numFmtId="3" fontId="3" fillId="0" borderId="2" xfId="1" applyNumberFormat="1" applyFont="1" applyBorder="1"/>
    <xf numFmtId="3" fontId="4" fillId="0" borderId="2" xfId="1" applyNumberFormat="1" applyFont="1" applyBorder="1"/>
    <xf numFmtId="0" fontId="16" fillId="0" borderId="0" xfId="1" applyFont="1"/>
    <xf numFmtId="10" fontId="3" fillId="0" borderId="0" xfId="1" applyNumberFormat="1" applyFont="1"/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16" fillId="0" borderId="0" xfId="1" applyFont="1" applyFill="1"/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3" fillId="0" borderId="0" xfId="10" applyFont="1"/>
    <xf numFmtId="0" fontId="17" fillId="0" borderId="0" xfId="10"/>
    <xf numFmtId="0" fontId="12" fillId="0" borderId="0" xfId="10" applyFont="1"/>
    <xf numFmtId="0" fontId="3" fillId="0" borderId="0" xfId="10" applyFont="1"/>
    <xf numFmtId="0" fontId="4" fillId="0" borderId="0" xfId="10" applyFont="1"/>
    <xf numFmtId="0" fontId="3" fillId="0" borderId="2" xfId="10" applyFont="1" applyBorder="1"/>
    <xf numFmtId="0" fontId="4" fillId="0" borderId="2" xfId="10" applyFont="1" applyBorder="1"/>
    <xf numFmtId="3" fontId="4" fillId="0" borderId="2" xfId="10" applyNumberFormat="1" applyFont="1" applyBorder="1"/>
    <xf numFmtId="0" fontId="3" fillId="0" borderId="2" xfId="10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/>
    <xf numFmtId="4" fontId="4" fillId="0" borderId="2" xfId="10" applyNumberFormat="1" applyFont="1" applyBorder="1" applyAlignment="1">
      <alignment horizontal="center" vertical="center"/>
    </xf>
    <xf numFmtId="4" fontId="3" fillId="0" borderId="2" xfId="1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6" fontId="3" fillId="0" borderId="2" xfId="1" applyNumberFormat="1" applyFont="1" applyBorder="1"/>
    <xf numFmtId="9" fontId="3" fillId="0" borderId="2" xfId="1" applyNumberFormat="1" applyFont="1" applyBorder="1"/>
    <xf numFmtId="9" fontId="3" fillId="0" borderId="0" xfId="1" applyNumberFormat="1" applyFont="1" applyBorder="1"/>
    <xf numFmtId="10" fontId="2" fillId="0" borderId="0" xfId="0" applyNumberFormat="1" applyFont="1"/>
    <xf numFmtId="10" fontId="0" fillId="0" borderId="0" xfId="0" applyNumberFormat="1"/>
    <xf numFmtId="3" fontId="3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/>
    <xf numFmtId="0" fontId="5" fillId="2" borderId="0" xfId="1" applyFont="1" applyFill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/>
    </xf>
    <xf numFmtId="0" fontId="9" fillId="6" borderId="18" xfId="1" applyFont="1" applyFill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12" xfId="1" applyNumberFormat="1" applyFont="1" applyBorder="1" applyAlignment="1">
      <alignment horizontal="center" vertical="center"/>
    </xf>
    <xf numFmtId="0" fontId="5" fillId="3" borderId="0" xfId="1" applyFont="1" applyFill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3" borderId="0" xfId="10" applyFont="1" applyFill="1" applyAlignment="1">
      <alignment horizontal="center"/>
    </xf>
    <xf numFmtId="0" fontId="5" fillId="3" borderId="0" xfId="1" applyFont="1" applyFill="1" applyAlignment="1">
      <alignment horizontal="center" vertical="center"/>
    </xf>
    <xf numFmtId="0" fontId="18" fillId="3" borderId="0" xfId="1" applyFont="1" applyFill="1" applyAlignme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11">
    <cellStyle name="Millares 2" xfId="5"/>
    <cellStyle name="Millares 3" xfId="6"/>
    <cellStyle name="Millares 4" xfId="7"/>
    <cellStyle name="Millares 5" xfId="8"/>
    <cellStyle name="Millares 6" xfId="9"/>
    <cellStyle name="Normal" xfId="0" builtinId="0"/>
    <cellStyle name="Normal 2" xfId="1"/>
    <cellStyle name="Normal 3" xfId="2"/>
    <cellStyle name="Normal 4" xfId="10"/>
    <cellStyle name="Porcentual 2" xfId="3"/>
    <cellStyle name="Porcentu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el/Desktop/VANESSA/formulaci&#243;n%20SENC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A"/>
      <sheetName val="C6B"/>
      <sheetName val="C6C"/>
      <sheetName val="C6D"/>
      <sheetName val="C6E"/>
      <sheetName val="C6F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Sens 1.1"/>
      <sheetName val="Sens 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B11" t="str">
            <v xml:space="preserve">  Volumen de ocupación</v>
          </cell>
        </row>
        <row r="14">
          <cell r="B14" t="str">
            <v xml:space="preserve">  Intereses crediticios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1"/>
  <sheetViews>
    <sheetView topLeftCell="A16" workbookViewId="0">
      <selection activeCell="E15" sqref="E15"/>
    </sheetView>
  </sheetViews>
  <sheetFormatPr baseColWidth="10" defaultRowHeight="15.75"/>
  <cols>
    <col min="1" max="1" width="11.42578125" style="1"/>
    <col min="2" max="2" width="35.85546875" style="1" bestFit="1" customWidth="1"/>
    <col min="3" max="8" width="11.42578125" style="1"/>
  </cols>
  <sheetData>
    <row r="3" spans="2:11">
      <c r="B3" s="2"/>
      <c r="C3" s="3"/>
      <c r="D3" s="3"/>
      <c r="E3" s="3"/>
      <c r="F3" s="3"/>
      <c r="G3" s="3"/>
      <c r="H3" s="3"/>
    </row>
    <row r="4" spans="2:11">
      <c r="B4" s="272" t="s">
        <v>0</v>
      </c>
      <c r="C4" s="272"/>
      <c r="D4" s="272"/>
      <c r="E4" s="272"/>
      <c r="F4" s="272"/>
      <c r="G4" s="272"/>
      <c r="H4" s="272"/>
    </row>
    <row r="5" spans="2:11">
      <c r="B5" s="3"/>
      <c r="C5" s="3"/>
      <c r="D5" s="3"/>
      <c r="E5" s="3"/>
      <c r="F5" s="3"/>
      <c r="G5" s="3"/>
      <c r="H5" s="3"/>
    </row>
    <row r="6" spans="2:11">
      <c r="B6" s="3"/>
      <c r="C6" s="3"/>
      <c r="D6" s="3"/>
      <c r="E6" s="3"/>
      <c r="F6" s="3"/>
      <c r="G6" s="3"/>
      <c r="H6" s="3"/>
    </row>
    <row r="7" spans="2:11" ht="31.5">
      <c r="B7" s="6"/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6</v>
      </c>
    </row>
    <row r="8" spans="2:11">
      <c r="B8" s="14" t="s">
        <v>7</v>
      </c>
      <c r="C8" s="17"/>
      <c r="D8" s="18"/>
      <c r="E8" s="18"/>
      <c r="F8" s="18"/>
      <c r="G8" s="18"/>
      <c r="H8" s="19"/>
    </row>
    <row r="9" spans="2:11">
      <c r="B9" s="14" t="s">
        <v>8</v>
      </c>
      <c r="C9" s="20"/>
      <c r="D9" s="21"/>
      <c r="E9" s="21"/>
      <c r="F9" s="21"/>
      <c r="G9" s="21"/>
      <c r="H9" s="22"/>
    </row>
    <row r="10" spans="2:11">
      <c r="B10" s="9" t="s">
        <v>9</v>
      </c>
      <c r="C10" s="16">
        <v>1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</row>
    <row r="11" spans="2:11">
      <c r="B11" s="9" t="s">
        <v>27</v>
      </c>
      <c r="C11" s="11">
        <v>340</v>
      </c>
      <c r="D11" s="11">
        <v>340</v>
      </c>
      <c r="E11" s="11">
        <v>340</v>
      </c>
      <c r="F11" s="11">
        <v>340</v>
      </c>
      <c r="G11" s="11">
        <v>340</v>
      </c>
      <c r="H11" s="11">
        <v>340</v>
      </c>
    </row>
    <row r="12" spans="2:11">
      <c r="B12" s="9" t="s">
        <v>29</v>
      </c>
      <c r="C12" s="11">
        <f>C11*12</f>
        <v>4080</v>
      </c>
      <c r="D12" s="11">
        <f t="shared" ref="D12:H12" si="0">D11*12</f>
        <v>4080</v>
      </c>
      <c r="E12" s="11">
        <f t="shared" si="0"/>
        <v>4080</v>
      </c>
      <c r="F12" s="11">
        <f t="shared" si="0"/>
        <v>4080</v>
      </c>
      <c r="G12" s="11">
        <f t="shared" si="0"/>
        <v>4080</v>
      </c>
      <c r="H12" s="11">
        <f t="shared" si="0"/>
        <v>4080</v>
      </c>
    </row>
    <row r="13" spans="2:11">
      <c r="B13" s="7" t="s">
        <v>10</v>
      </c>
      <c r="C13" s="8"/>
      <c r="D13" s="8"/>
      <c r="E13" s="8"/>
      <c r="F13" s="8"/>
      <c r="G13" s="8"/>
      <c r="H13" s="8"/>
    </row>
    <row r="14" spans="2:11">
      <c r="B14" s="9" t="s">
        <v>9</v>
      </c>
      <c r="C14" s="26">
        <v>0.2853</v>
      </c>
      <c r="D14" s="26">
        <v>0.2853</v>
      </c>
      <c r="E14" s="26">
        <v>0.5</v>
      </c>
      <c r="F14" s="26">
        <v>1</v>
      </c>
      <c r="G14" s="26">
        <v>1</v>
      </c>
      <c r="H14" s="26">
        <v>1</v>
      </c>
      <c r="K14" s="23"/>
    </row>
    <row r="15" spans="2:11">
      <c r="B15" s="9" t="s">
        <v>27</v>
      </c>
      <c r="C15" s="12"/>
      <c r="D15" s="11">
        <f>D11*D14</f>
        <v>97.001999999999995</v>
      </c>
      <c r="E15" s="11">
        <f t="shared" ref="E15:H15" si="1">E11*E14</f>
        <v>170</v>
      </c>
      <c r="F15" s="11">
        <f>F11*F14</f>
        <v>340</v>
      </c>
      <c r="G15" s="11">
        <f t="shared" si="1"/>
        <v>340</v>
      </c>
      <c r="H15" s="11">
        <f t="shared" si="1"/>
        <v>340</v>
      </c>
    </row>
    <row r="16" spans="2:11">
      <c r="B16" s="9" t="s">
        <v>29</v>
      </c>
      <c r="C16" s="12"/>
      <c r="D16" s="11">
        <f>D15*12</f>
        <v>1164.0239999999999</v>
      </c>
      <c r="E16" s="11">
        <f>E15*12</f>
        <v>2040</v>
      </c>
      <c r="F16" s="11">
        <f t="shared" ref="F16:H16" si="2">F15*12</f>
        <v>4080</v>
      </c>
      <c r="G16" s="11">
        <f t="shared" si="2"/>
        <v>4080</v>
      </c>
      <c r="H16" s="11">
        <f t="shared" si="2"/>
        <v>4080</v>
      </c>
    </row>
    <row r="17" spans="2:11">
      <c r="B17" s="7" t="s">
        <v>31</v>
      </c>
      <c r="C17" s="8"/>
      <c r="D17" s="13">
        <f>D16</f>
        <v>1164.0239999999999</v>
      </c>
      <c r="E17" s="13">
        <f t="shared" ref="E17:H17" si="3">E16</f>
        <v>2040</v>
      </c>
      <c r="F17" s="13">
        <f t="shared" si="3"/>
        <v>4080</v>
      </c>
      <c r="G17" s="13">
        <f t="shared" si="3"/>
        <v>4080</v>
      </c>
      <c r="H17" s="13">
        <f t="shared" si="3"/>
        <v>4080</v>
      </c>
    </row>
    <row r="18" spans="2:11">
      <c r="B18" s="9"/>
      <c r="C18" s="12"/>
      <c r="D18" s="12"/>
      <c r="E18" s="12"/>
      <c r="F18" s="12"/>
      <c r="G18" s="12"/>
      <c r="H18" s="12"/>
    </row>
    <row r="19" spans="2:11">
      <c r="B19" s="7" t="s">
        <v>30</v>
      </c>
      <c r="C19" s="8"/>
      <c r="D19" s="13">
        <f>D17</f>
        <v>1164.0239999999999</v>
      </c>
      <c r="E19" s="13">
        <f t="shared" ref="E19:H19" si="4">E17</f>
        <v>2040</v>
      </c>
      <c r="F19" s="13">
        <f t="shared" si="4"/>
        <v>4080</v>
      </c>
      <c r="G19" s="13">
        <f t="shared" si="4"/>
        <v>4080</v>
      </c>
      <c r="H19" s="13">
        <f t="shared" si="4"/>
        <v>4080</v>
      </c>
    </row>
    <row r="20" spans="2:11">
      <c r="B20" s="3"/>
      <c r="C20" s="3"/>
      <c r="D20" s="3"/>
      <c r="E20" s="3"/>
      <c r="F20" s="3"/>
      <c r="G20" s="3"/>
      <c r="H20" s="3"/>
      <c r="J20" s="24"/>
      <c r="K20" s="24"/>
    </row>
    <row r="21" spans="2:11">
      <c r="B21" s="3"/>
      <c r="C21" s="3"/>
      <c r="D21" s="3"/>
      <c r="E21" s="3"/>
      <c r="F21" s="3"/>
      <c r="G21" s="3"/>
      <c r="H21" s="3"/>
      <c r="J21" s="24"/>
      <c r="K21" s="25"/>
    </row>
    <row r="22" spans="2:11">
      <c r="B22" s="2" t="s">
        <v>11</v>
      </c>
      <c r="C22" s="3"/>
      <c r="D22" s="3"/>
      <c r="E22" s="3"/>
      <c r="F22" s="3"/>
      <c r="G22" s="3"/>
      <c r="H22" s="3"/>
    </row>
    <row r="23" spans="2:11">
      <c r="B23" s="3"/>
      <c r="C23" s="3"/>
      <c r="D23" s="3"/>
      <c r="E23" s="3"/>
      <c r="F23" s="3"/>
      <c r="G23" s="3"/>
      <c r="H23" s="3"/>
    </row>
    <row r="24" spans="2:11">
      <c r="B24" s="3" t="s">
        <v>12</v>
      </c>
      <c r="C24" s="3"/>
      <c r="D24" s="4">
        <v>1</v>
      </c>
      <c r="E24" s="3" t="s">
        <v>13</v>
      </c>
      <c r="F24" s="3"/>
      <c r="G24" s="3"/>
      <c r="H24" s="3"/>
    </row>
    <row r="25" spans="2:11">
      <c r="B25" s="3" t="s">
        <v>14</v>
      </c>
      <c r="C25" s="3"/>
      <c r="D25" s="5">
        <v>340</v>
      </c>
      <c r="E25" s="3" t="s">
        <v>28</v>
      </c>
      <c r="F25" s="3"/>
      <c r="G25" s="3"/>
      <c r="H25" s="3"/>
    </row>
    <row r="26" spans="2:11">
      <c r="B26" s="3" t="s">
        <v>15</v>
      </c>
      <c r="C26" s="3"/>
      <c r="D26" s="27">
        <v>0.2853</v>
      </c>
      <c r="E26" s="3" t="s">
        <v>16</v>
      </c>
      <c r="F26" s="3"/>
      <c r="G26" s="3"/>
      <c r="H26" s="3"/>
    </row>
    <row r="27" spans="2:11">
      <c r="B27" s="3" t="s">
        <v>17</v>
      </c>
      <c r="C27" s="3"/>
      <c r="D27" s="4">
        <v>1</v>
      </c>
      <c r="E27" s="3" t="s">
        <v>18</v>
      </c>
      <c r="F27" s="3"/>
      <c r="G27" s="3"/>
      <c r="H27" s="3"/>
    </row>
    <row r="28" spans="2:11">
      <c r="B28" s="3" t="s">
        <v>19</v>
      </c>
      <c r="C28" s="3"/>
      <c r="D28" s="3">
        <v>1</v>
      </c>
      <c r="E28" s="3" t="s">
        <v>20</v>
      </c>
      <c r="F28" s="3"/>
      <c r="G28" s="3"/>
      <c r="H28" s="3"/>
    </row>
    <row r="29" spans="2:11">
      <c r="B29" s="3" t="s">
        <v>21</v>
      </c>
      <c r="C29" s="3"/>
      <c r="D29" s="3">
        <v>22</v>
      </c>
      <c r="E29" s="3" t="s">
        <v>22</v>
      </c>
      <c r="F29" s="3"/>
      <c r="G29" s="3"/>
      <c r="H29" s="3"/>
    </row>
    <row r="30" spans="2:11">
      <c r="B30" s="3" t="s">
        <v>23</v>
      </c>
      <c r="C30" s="3"/>
      <c r="D30" s="3">
        <v>12</v>
      </c>
      <c r="E30" s="3" t="s">
        <v>24</v>
      </c>
      <c r="F30" s="3"/>
      <c r="G30" s="3"/>
      <c r="H30" s="3"/>
    </row>
    <row r="31" spans="2:11">
      <c r="B31" s="3" t="s">
        <v>25</v>
      </c>
      <c r="C31" s="3"/>
      <c r="D31" s="3">
        <v>264</v>
      </c>
      <c r="E31" s="3" t="s">
        <v>26</v>
      </c>
      <c r="F31" s="3"/>
      <c r="G31" s="3"/>
      <c r="H31" s="3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G9" sqref="G8:G31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6" style="3" customWidth="1"/>
    <col min="4" max="4" width="4.85546875" style="95" customWidth="1"/>
    <col min="5" max="5" width="17.5703125" style="3" customWidth="1"/>
    <col min="6" max="6" width="17.5703125" style="3" bestFit="1" customWidth="1"/>
    <col min="7" max="7" width="20.5703125" style="3" customWidth="1"/>
    <col min="8" max="8" width="13.28515625" style="3" customWidth="1"/>
    <col min="9" max="9" width="13.7109375" style="3" customWidth="1"/>
    <col min="10" max="10" width="23.7109375" style="95" bestFit="1" customWidth="1"/>
    <col min="11" max="11" width="10.7109375" style="108" bestFit="1" customWidth="1"/>
    <col min="12" max="12" width="20.140625" style="108" customWidth="1"/>
    <col min="13" max="254" width="11.5703125" style="108"/>
    <col min="255" max="255" width="7.85546875" style="108" customWidth="1"/>
    <col min="256" max="256" width="24.5703125" style="108" customWidth="1"/>
    <col min="257" max="257" width="3.7109375" style="108" customWidth="1"/>
    <col min="258" max="258" width="4.85546875" style="108" customWidth="1"/>
    <col min="259" max="259" width="0.85546875" style="108" customWidth="1"/>
    <col min="260" max="260" width="9" style="108" customWidth="1"/>
    <col min="261" max="261" width="10" style="108" customWidth="1"/>
    <col min="262" max="262" width="0.85546875" style="108" customWidth="1"/>
    <col min="263" max="263" width="12.42578125" style="108" customWidth="1"/>
    <col min="264" max="264" width="0.85546875" style="108" customWidth="1"/>
    <col min="265" max="265" width="13.7109375" style="108" customWidth="1"/>
    <col min="266" max="510" width="11.5703125" style="108"/>
    <col min="511" max="511" width="7.85546875" style="108" customWidth="1"/>
    <col min="512" max="512" width="24.5703125" style="108" customWidth="1"/>
    <col min="513" max="513" width="3.7109375" style="108" customWidth="1"/>
    <col min="514" max="514" width="4.85546875" style="108" customWidth="1"/>
    <col min="515" max="515" width="0.85546875" style="108" customWidth="1"/>
    <col min="516" max="516" width="9" style="108" customWidth="1"/>
    <col min="517" max="517" width="10" style="108" customWidth="1"/>
    <col min="518" max="518" width="0.85546875" style="108" customWidth="1"/>
    <col min="519" max="519" width="12.42578125" style="108" customWidth="1"/>
    <col min="520" max="520" width="0.85546875" style="108" customWidth="1"/>
    <col min="521" max="521" width="13.7109375" style="108" customWidth="1"/>
    <col min="522" max="766" width="11.5703125" style="108"/>
    <col min="767" max="767" width="7.85546875" style="108" customWidth="1"/>
    <col min="768" max="768" width="24.5703125" style="108" customWidth="1"/>
    <col min="769" max="769" width="3.7109375" style="108" customWidth="1"/>
    <col min="770" max="770" width="4.85546875" style="108" customWidth="1"/>
    <col min="771" max="771" width="0.85546875" style="108" customWidth="1"/>
    <col min="772" max="772" width="9" style="108" customWidth="1"/>
    <col min="773" max="773" width="10" style="108" customWidth="1"/>
    <col min="774" max="774" width="0.85546875" style="108" customWidth="1"/>
    <col min="775" max="775" width="12.42578125" style="108" customWidth="1"/>
    <col min="776" max="776" width="0.85546875" style="108" customWidth="1"/>
    <col min="777" max="777" width="13.7109375" style="108" customWidth="1"/>
    <col min="778" max="1022" width="11.5703125" style="108"/>
    <col min="1023" max="1023" width="7.85546875" style="108" customWidth="1"/>
    <col min="1024" max="1024" width="24.5703125" style="108" customWidth="1"/>
    <col min="1025" max="1025" width="3.7109375" style="108" customWidth="1"/>
    <col min="1026" max="1026" width="4.85546875" style="108" customWidth="1"/>
    <col min="1027" max="1027" width="0.85546875" style="108" customWidth="1"/>
    <col min="1028" max="1028" width="9" style="108" customWidth="1"/>
    <col min="1029" max="1029" width="10" style="108" customWidth="1"/>
    <col min="1030" max="1030" width="0.85546875" style="108" customWidth="1"/>
    <col min="1031" max="1031" width="12.42578125" style="108" customWidth="1"/>
    <col min="1032" max="1032" width="0.85546875" style="108" customWidth="1"/>
    <col min="1033" max="1033" width="13.7109375" style="108" customWidth="1"/>
    <col min="1034" max="1278" width="11.5703125" style="108"/>
    <col min="1279" max="1279" width="7.85546875" style="108" customWidth="1"/>
    <col min="1280" max="1280" width="24.5703125" style="108" customWidth="1"/>
    <col min="1281" max="1281" width="3.7109375" style="108" customWidth="1"/>
    <col min="1282" max="1282" width="4.85546875" style="108" customWidth="1"/>
    <col min="1283" max="1283" width="0.85546875" style="108" customWidth="1"/>
    <col min="1284" max="1284" width="9" style="108" customWidth="1"/>
    <col min="1285" max="1285" width="10" style="108" customWidth="1"/>
    <col min="1286" max="1286" width="0.85546875" style="108" customWidth="1"/>
    <col min="1287" max="1287" width="12.42578125" style="108" customWidth="1"/>
    <col min="1288" max="1288" width="0.85546875" style="108" customWidth="1"/>
    <col min="1289" max="1289" width="13.7109375" style="108" customWidth="1"/>
    <col min="1290" max="1534" width="11.5703125" style="108"/>
    <col min="1535" max="1535" width="7.85546875" style="108" customWidth="1"/>
    <col min="1536" max="1536" width="24.5703125" style="108" customWidth="1"/>
    <col min="1537" max="1537" width="3.7109375" style="108" customWidth="1"/>
    <col min="1538" max="1538" width="4.85546875" style="108" customWidth="1"/>
    <col min="1539" max="1539" width="0.85546875" style="108" customWidth="1"/>
    <col min="1540" max="1540" width="9" style="108" customWidth="1"/>
    <col min="1541" max="1541" width="10" style="108" customWidth="1"/>
    <col min="1542" max="1542" width="0.85546875" style="108" customWidth="1"/>
    <col min="1543" max="1543" width="12.42578125" style="108" customWidth="1"/>
    <col min="1544" max="1544" width="0.85546875" style="108" customWidth="1"/>
    <col min="1545" max="1545" width="13.7109375" style="108" customWidth="1"/>
    <col min="1546" max="1790" width="11.5703125" style="108"/>
    <col min="1791" max="1791" width="7.85546875" style="108" customWidth="1"/>
    <col min="1792" max="1792" width="24.5703125" style="108" customWidth="1"/>
    <col min="1793" max="1793" width="3.7109375" style="108" customWidth="1"/>
    <col min="1794" max="1794" width="4.85546875" style="108" customWidth="1"/>
    <col min="1795" max="1795" width="0.85546875" style="108" customWidth="1"/>
    <col min="1796" max="1796" width="9" style="108" customWidth="1"/>
    <col min="1797" max="1797" width="10" style="108" customWidth="1"/>
    <col min="1798" max="1798" width="0.85546875" style="108" customWidth="1"/>
    <col min="1799" max="1799" width="12.42578125" style="108" customWidth="1"/>
    <col min="1800" max="1800" width="0.85546875" style="108" customWidth="1"/>
    <col min="1801" max="1801" width="13.7109375" style="108" customWidth="1"/>
    <col min="1802" max="2046" width="11.5703125" style="108"/>
    <col min="2047" max="2047" width="7.85546875" style="108" customWidth="1"/>
    <col min="2048" max="2048" width="24.5703125" style="108" customWidth="1"/>
    <col min="2049" max="2049" width="3.7109375" style="108" customWidth="1"/>
    <col min="2050" max="2050" width="4.85546875" style="108" customWidth="1"/>
    <col min="2051" max="2051" width="0.85546875" style="108" customWidth="1"/>
    <col min="2052" max="2052" width="9" style="108" customWidth="1"/>
    <col min="2053" max="2053" width="10" style="108" customWidth="1"/>
    <col min="2054" max="2054" width="0.85546875" style="108" customWidth="1"/>
    <col min="2055" max="2055" width="12.42578125" style="108" customWidth="1"/>
    <col min="2056" max="2056" width="0.85546875" style="108" customWidth="1"/>
    <col min="2057" max="2057" width="13.7109375" style="108" customWidth="1"/>
    <col min="2058" max="2302" width="11.5703125" style="108"/>
    <col min="2303" max="2303" width="7.85546875" style="108" customWidth="1"/>
    <col min="2304" max="2304" width="24.5703125" style="108" customWidth="1"/>
    <col min="2305" max="2305" width="3.7109375" style="108" customWidth="1"/>
    <col min="2306" max="2306" width="4.85546875" style="108" customWidth="1"/>
    <col min="2307" max="2307" width="0.85546875" style="108" customWidth="1"/>
    <col min="2308" max="2308" width="9" style="108" customWidth="1"/>
    <col min="2309" max="2309" width="10" style="108" customWidth="1"/>
    <col min="2310" max="2310" width="0.85546875" style="108" customWidth="1"/>
    <col min="2311" max="2311" width="12.42578125" style="108" customWidth="1"/>
    <col min="2312" max="2312" width="0.85546875" style="108" customWidth="1"/>
    <col min="2313" max="2313" width="13.7109375" style="108" customWidth="1"/>
    <col min="2314" max="2558" width="11.5703125" style="108"/>
    <col min="2559" max="2559" width="7.85546875" style="108" customWidth="1"/>
    <col min="2560" max="2560" width="24.5703125" style="108" customWidth="1"/>
    <col min="2561" max="2561" width="3.7109375" style="108" customWidth="1"/>
    <col min="2562" max="2562" width="4.85546875" style="108" customWidth="1"/>
    <col min="2563" max="2563" width="0.85546875" style="108" customWidth="1"/>
    <col min="2564" max="2564" width="9" style="108" customWidth="1"/>
    <col min="2565" max="2565" width="10" style="108" customWidth="1"/>
    <col min="2566" max="2566" width="0.85546875" style="108" customWidth="1"/>
    <col min="2567" max="2567" width="12.42578125" style="108" customWidth="1"/>
    <col min="2568" max="2568" width="0.85546875" style="108" customWidth="1"/>
    <col min="2569" max="2569" width="13.7109375" style="108" customWidth="1"/>
    <col min="2570" max="2814" width="11.5703125" style="108"/>
    <col min="2815" max="2815" width="7.85546875" style="108" customWidth="1"/>
    <col min="2816" max="2816" width="24.5703125" style="108" customWidth="1"/>
    <col min="2817" max="2817" width="3.7109375" style="108" customWidth="1"/>
    <col min="2818" max="2818" width="4.85546875" style="108" customWidth="1"/>
    <col min="2819" max="2819" width="0.85546875" style="108" customWidth="1"/>
    <col min="2820" max="2820" width="9" style="108" customWidth="1"/>
    <col min="2821" max="2821" width="10" style="108" customWidth="1"/>
    <col min="2822" max="2822" width="0.85546875" style="108" customWidth="1"/>
    <col min="2823" max="2823" width="12.42578125" style="108" customWidth="1"/>
    <col min="2824" max="2824" width="0.85546875" style="108" customWidth="1"/>
    <col min="2825" max="2825" width="13.7109375" style="108" customWidth="1"/>
    <col min="2826" max="3070" width="11.5703125" style="108"/>
    <col min="3071" max="3071" width="7.85546875" style="108" customWidth="1"/>
    <col min="3072" max="3072" width="24.5703125" style="108" customWidth="1"/>
    <col min="3073" max="3073" width="3.7109375" style="108" customWidth="1"/>
    <col min="3074" max="3074" width="4.85546875" style="108" customWidth="1"/>
    <col min="3075" max="3075" width="0.85546875" style="108" customWidth="1"/>
    <col min="3076" max="3076" width="9" style="108" customWidth="1"/>
    <col min="3077" max="3077" width="10" style="108" customWidth="1"/>
    <col min="3078" max="3078" width="0.85546875" style="108" customWidth="1"/>
    <col min="3079" max="3079" width="12.42578125" style="108" customWidth="1"/>
    <col min="3080" max="3080" width="0.85546875" style="108" customWidth="1"/>
    <col min="3081" max="3081" width="13.7109375" style="108" customWidth="1"/>
    <col min="3082" max="3326" width="11.5703125" style="108"/>
    <col min="3327" max="3327" width="7.85546875" style="108" customWidth="1"/>
    <col min="3328" max="3328" width="24.5703125" style="108" customWidth="1"/>
    <col min="3329" max="3329" width="3.7109375" style="108" customWidth="1"/>
    <col min="3330" max="3330" width="4.85546875" style="108" customWidth="1"/>
    <col min="3331" max="3331" width="0.85546875" style="108" customWidth="1"/>
    <col min="3332" max="3332" width="9" style="108" customWidth="1"/>
    <col min="3333" max="3333" width="10" style="108" customWidth="1"/>
    <col min="3334" max="3334" width="0.85546875" style="108" customWidth="1"/>
    <col min="3335" max="3335" width="12.42578125" style="108" customWidth="1"/>
    <col min="3336" max="3336" width="0.85546875" style="108" customWidth="1"/>
    <col min="3337" max="3337" width="13.7109375" style="108" customWidth="1"/>
    <col min="3338" max="3582" width="11.5703125" style="108"/>
    <col min="3583" max="3583" width="7.85546875" style="108" customWidth="1"/>
    <col min="3584" max="3584" width="24.5703125" style="108" customWidth="1"/>
    <col min="3585" max="3585" width="3.7109375" style="108" customWidth="1"/>
    <col min="3586" max="3586" width="4.85546875" style="108" customWidth="1"/>
    <col min="3587" max="3587" width="0.85546875" style="108" customWidth="1"/>
    <col min="3588" max="3588" width="9" style="108" customWidth="1"/>
    <col min="3589" max="3589" width="10" style="108" customWidth="1"/>
    <col min="3590" max="3590" width="0.85546875" style="108" customWidth="1"/>
    <col min="3591" max="3591" width="12.42578125" style="108" customWidth="1"/>
    <col min="3592" max="3592" width="0.85546875" style="108" customWidth="1"/>
    <col min="3593" max="3593" width="13.7109375" style="108" customWidth="1"/>
    <col min="3594" max="3838" width="11.5703125" style="108"/>
    <col min="3839" max="3839" width="7.85546875" style="108" customWidth="1"/>
    <col min="3840" max="3840" width="24.5703125" style="108" customWidth="1"/>
    <col min="3841" max="3841" width="3.7109375" style="108" customWidth="1"/>
    <col min="3842" max="3842" width="4.85546875" style="108" customWidth="1"/>
    <col min="3843" max="3843" width="0.85546875" style="108" customWidth="1"/>
    <col min="3844" max="3844" width="9" style="108" customWidth="1"/>
    <col min="3845" max="3845" width="10" style="108" customWidth="1"/>
    <col min="3846" max="3846" width="0.85546875" style="108" customWidth="1"/>
    <col min="3847" max="3847" width="12.42578125" style="108" customWidth="1"/>
    <col min="3848" max="3848" width="0.85546875" style="108" customWidth="1"/>
    <col min="3849" max="3849" width="13.7109375" style="108" customWidth="1"/>
    <col min="3850" max="4094" width="11.5703125" style="108"/>
    <col min="4095" max="4095" width="7.85546875" style="108" customWidth="1"/>
    <col min="4096" max="4096" width="24.5703125" style="108" customWidth="1"/>
    <col min="4097" max="4097" width="3.7109375" style="108" customWidth="1"/>
    <col min="4098" max="4098" width="4.85546875" style="108" customWidth="1"/>
    <col min="4099" max="4099" width="0.85546875" style="108" customWidth="1"/>
    <col min="4100" max="4100" width="9" style="108" customWidth="1"/>
    <col min="4101" max="4101" width="10" style="108" customWidth="1"/>
    <col min="4102" max="4102" width="0.85546875" style="108" customWidth="1"/>
    <col min="4103" max="4103" width="12.42578125" style="108" customWidth="1"/>
    <col min="4104" max="4104" width="0.85546875" style="108" customWidth="1"/>
    <col min="4105" max="4105" width="13.7109375" style="108" customWidth="1"/>
    <col min="4106" max="4350" width="11.5703125" style="108"/>
    <col min="4351" max="4351" width="7.85546875" style="108" customWidth="1"/>
    <col min="4352" max="4352" width="24.5703125" style="108" customWidth="1"/>
    <col min="4353" max="4353" width="3.7109375" style="108" customWidth="1"/>
    <col min="4354" max="4354" width="4.85546875" style="108" customWidth="1"/>
    <col min="4355" max="4355" width="0.85546875" style="108" customWidth="1"/>
    <col min="4356" max="4356" width="9" style="108" customWidth="1"/>
    <col min="4357" max="4357" width="10" style="108" customWidth="1"/>
    <col min="4358" max="4358" width="0.85546875" style="108" customWidth="1"/>
    <col min="4359" max="4359" width="12.42578125" style="108" customWidth="1"/>
    <col min="4360" max="4360" width="0.85546875" style="108" customWidth="1"/>
    <col min="4361" max="4361" width="13.7109375" style="108" customWidth="1"/>
    <col min="4362" max="4606" width="11.5703125" style="108"/>
    <col min="4607" max="4607" width="7.85546875" style="108" customWidth="1"/>
    <col min="4608" max="4608" width="24.5703125" style="108" customWidth="1"/>
    <col min="4609" max="4609" width="3.7109375" style="108" customWidth="1"/>
    <col min="4610" max="4610" width="4.85546875" style="108" customWidth="1"/>
    <col min="4611" max="4611" width="0.85546875" style="108" customWidth="1"/>
    <col min="4612" max="4612" width="9" style="108" customWidth="1"/>
    <col min="4613" max="4613" width="10" style="108" customWidth="1"/>
    <col min="4614" max="4614" width="0.85546875" style="108" customWidth="1"/>
    <col min="4615" max="4615" width="12.42578125" style="108" customWidth="1"/>
    <col min="4616" max="4616" width="0.85546875" style="108" customWidth="1"/>
    <col min="4617" max="4617" width="13.7109375" style="108" customWidth="1"/>
    <col min="4618" max="4862" width="11.5703125" style="108"/>
    <col min="4863" max="4863" width="7.85546875" style="108" customWidth="1"/>
    <col min="4864" max="4864" width="24.5703125" style="108" customWidth="1"/>
    <col min="4865" max="4865" width="3.7109375" style="108" customWidth="1"/>
    <col min="4866" max="4866" width="4.85546875" style="108" customWidth="1"/>
    <col min="4867" max="4867" width="0.85546875" style="108" customWidth="1"/>
    <col min="4868" max="4868" width="9" style="108" customWidth="1"/>
    <col min="4869" max="4869" width="10" style="108" customWidth="1"/>
    <col min="4870" max="4870" width="0.85546875" style="108" customWidth="1"/>
    <col min="4871" max="4871" width="12.42578125" style="108" customWidth="1"/>
    <col min="4872" max="4872" width="0.85546875" style="108" customWidth="1"/>
    <col min="4873" max="4873" width="13.7109375" style="108" customWidth="1"/>
    <col min="4874" max="5118" width="11.5703125" style="108"/>
    <col min="5119" max="5119" width="7.85546875" style="108" customWidth="1"/>
    <col min="5120" max="5120" width="24.5703125" style="108" customWidth="1"/>
    <col min="5121" max="5121" width="3.7109375" style="108" customWidth="1"/>
    <col min="5122" max="5122" width="4.85546875" style="108" customWidth="1"/>
    <col min="5123" max="5123" width="0.85546875" style="108" customWidth="1"/>
    <col min="5124" max="5124" width="9" style="108" customWidth="1"/>
    <col min="5125" max="5125" width="10" style="108" customWidth="1"/>
    <col min="5126" max="5126" width="0.85546875" style="108" customWidth="1"/>
    <col min="5127" max="5127" width="12.42578125" style="108" customWidth="1"/>
    <col min="5128" max="5128" width="0.85546875" style="108" customWidth="1"/>
    <col min="5129" max="5129" width="13.7109375" style="108" customWidth="1"/>
    <col min="5130" max="5374" width="11.5703125" style="108"/>
    <col min="5375" max="5375" width="7.85546875" style="108" customWidth="1"/>
    <col min="5376" max="5376" width="24.5703125" style="108" customWidth="1"/>
    <col min="5377" max="5377" width="3.7109375" style="108" customWidth="1"/>
    <col min="5378" max="5378" width="4.85546875" style="108" customWidth="1"/>
    <col min="5379" max="5379" width="0.85546875" style="108" customWidth="1"/>
    <col min="5380" max="5380" width="9" style="108" customWidth="1"/>
    <col min="5381" max="5381" width="10" style="108" customWidth="1"/>
    <col min="5382" max="5382" width="0.85546875" style="108" customWidth="1"/>
    <col min="5383" max="5383" width="12.42578125" style="108" customWidth="1"/>
    <col min="5384" max="5384" width="0.85546875" style="108" customWidth="1"/>
    <col min="5385" max="5385" width="13.7109375" style="108" customWidth="1"/>
    <col min="5386" max="5630" width="11.5703125" style="108"/>
    <col min="5631" max="5631" width="7.85546875" style="108" customWidth="1"/>
    <col min="5632" max="5632" width="24.5703125" style="108" customWidth="1"/>
    <col min="5633" max="5633" width="3.7109375" style="108" customWidth="1"/>
    <col min="5634" max="5634" width="4.85546875" style="108" customWidth="1"/>
    <col min="5635" max="5635" width="0.85546875" style="108" customWidth="1"/>
    <col min="5636" max="5636" width="9" style="108" customWidth="1"/>
    <col min="5637" max="5637" width="10" style="108" customWidth="1"/>
    <col min="5638" max="5638" width="0.85546875" style="108" customWidth="1"/>
    <col min="5639" max="5639" width="12.42578125" style="108" customWidth="1"/>
    <col min="5640" max="5640" width="0.85546875" style="108" customWidth="1"/>
    <col min="5641" max="5641" width="13.7109375" style="108" customWidth="1"/>
    <col min="5642" max="5886" width="11.5703125" style="108"/>
    <col min="5887" max="5887" width="7.85546875" style="108" customWidth="1"/>
    <col min="5888" max="5888" width="24.5703125" style="108" customWidth="1"/>
    <col min="5889" max="5889" width="3.7109375" style="108" customWidth="1"/>
    <col min="5890" max="5890" width="4.85546875" style="108" customWidth="1"/>
    <col min="5891" max="5891" width="0.85546875" style="108" customWidth="1"/>
    <col min="5892" max="5892" width="9" style="108" customWidth="1"/>
    <col min="5893" max="5893" width="10" style="108" customWidth="1"/>
    <col min="5894" max="5894" width="0.85546875" style="108" customWidth="1"/>
    <col min="5895" max="5895" width="12.42578125" style="108" customWidth="1"/>
    <col min="5896" max="5896" width="0.85546875" style="108" customWidth="1"/>
    <col min="5897" max="5897" width="13.7109375" style="108" customWidth="1"/>
    <col min="5898" max="6142" width="11.5703125" style="108"/>
    <col min="6143" max="6143" width="7.85546875" style="108" customWidth="1"/>
    <col min="6144" max="6144" width="24.5703125" style="108" customWidth="1"/>
    <col min="6145" max="6145" width="3.7109375" style="108" customWidth="1"/>
    <col min="6146" max="6146" width="4.85546875" style="108" customWidth="1"/>
    <col min="6147" max="6147" width="0.85546875" style="108" customWidth="1"/>
    <col min="6148" max="6148" width="9" style="108" customWidth="1"/>
    <col min="6149" max="6149" width="10" style="108" customWidth="1"/>
    <col min="6150" max="6150" width="0.85546875" style="108" customWidth="1"/>
    <col min="6151" max="6151" width="12.42578125" style="108" customWidth="1"/>
    <col min="6152" max="6152" width="0.85546875" style="108" customWidth="1"/>
    <col min="6153" max="6153" width="13.7109375" style="108" customWidth="1"/>
    <col min="6154" max="6398" width="11.5703125" style="108"/>
    <col min="6399" max="6399" width="7.85546875" style="108" customWidth="1"/>
    <col min="6400" max="6400" width="24.5703125" style="108" customWidth="1"/>
    <col min="6401" max="6401" width="3.7109375" style="108" customWidth="1"/>
    <col min="6402" max="6402" width="4.85546875" style="108" customWidth="1"/>
    <col min="6403" max="6403" width="0.85546875" style="108" customWidth="1"/>
    <col min="6404" max="6404" width="9" style="108" customWidth="1"/>
    <col min="6405" max="6405" width="10" style="108" customWidth="1"/>
    <col min="6406" max="6406" width="0.85546875" style="108" customWidth="1"/>
    <col min="6407" max="6407" width="12.42578125" style="108" customWidth="1"/>
    <col min="6408" max="6408" width="0.85546875" style="108" customWidth="1"/>
    <col min="6409" max="6409" width="13.7109375" style="108" customWidth="1"/>
    <col min="6410" max="6654" width="11.5703125" style="108"/>
    <col min="6655" max="6655" width="7.85546875" style="108" customWidth="1"/>
    <col min="6656" max="6656" width="24.5703125" style="108" customWidth="1"/>
    <col min="6657" max="6657" width="3.7109375" style="108" customWidth="1"/>
    <col min="6658" max="6658" width="4.85546875" style="108" customWidth="1"/>
    <col min="6659" max="6659" width="0.85546875" style="108" customWidth="1"/>
    <col min="6660" max="6660" width="9" style="108" customWidth="1"/>
    <col min="6661" max="6661" width="10" style="108" customWidth="1"/>
    <col min="6662" max="6662" width="0.85546875" style="108" customWidth="1"/>
    <col min="6663" max="6663" width="12.42578125" style="108" customWidth="1"/>
    <col min="6664" max="6664" width="0.85546875" style="108" customWidth="1"/>
    <col min="6665" max="6665" width="13.7109375" style="108" customWidth="1"/>
    <col min="6666" max="6910" width="11.5703125" style="108"/>
    <col min="6911" max="6911" width="7.85546875" style="108" customWidth="1"/>
    <col min="6912" max="6912" width="24.5703125" style="108" customWidth="1"/>
    <col min="6913" max="6913" width="3.7109375" style="108" customWidth="1"/>
    <col min="6914" max="6914" width="4.85546875" style="108" customWidth="1"/>
    <col min="6915" max="6915" width="0.85546875" style="108" customWidth="1"/>
    <col min="6916" max="6916" width="9" style="108" customWidth="1"/>
    <col min="6917" max="6917" width="10" style="108" customWidth="1"/>
    <col min="6918" max="6918" width="0.85546875" style="108" customWidth="1"/>
    <col min="6919" max="6919" width="12.42578125" style="108" customWidth="1"/>
    <col min="6920" max="6920" width="0.85546875" style="108" customWidth="1"/>
    <col min="6921" max="6921" width="13.7109375" style="108" customWidth="1"/>
    <col min="6922" max="7166" width="11.5703125" style="108"/>
    <col min="7167" max="7167" width="7.85546875" style="108" customWidth="1"/>
    <col min="7168" max="7168" width="24.5703125" style="108" customWidth="1"/>
    <col min="7169" max="7169" width="3.7109375" style="108" customWidth="1"/>
    <col min="7170" max="7170" width="4.85546875" style="108" customWidth="1"/>
    <col min="7171" max="7171" width="0.85546875" style="108" customWidth="1"/>
    <col min="7172" max="7172" width="9" style="108" customWidth="1"/>
    <col min="7173" max="7173" width="10" style="108" customWidth="1"/>
    <col min="7174" max="7174" width="0.85546875" style="108" customWidth="1"/>
    <col min="7175" max="7175" width="12.42578125" style="108" customWidth="1"/>
    <col min="7176" max="7176" width="0.85546875" style="108" customWidth="1"/>
    <col min="7177" max="7177" width="13.7109375" style="108" customWidth="1"/>
    <col min="7178" max="7422" width="11.5703125" style="108"/>
    <col min="7423" max="7423" width="7.85546875" style="108" customWidth="1"/>
    <col min="7424" max="7424" width="24.5703125" style="108" customWidth="1"/>
    <col min="7425" max="7425" width="3.7109375" style="108" customWidth="1"/>
    <col min="7426" max="7426" width="4.85546875" style="108" customWidth="1"/>
    <col min="7427" max="7427" width="0.85546875" style="108" customWidth="1"/>
    <col min="7428" max="7428" width="9" style="108" customWidth="1"/>
    <col min="7429" max="7429" width="10" style="108" customWidth="1"/>
    <col min="7430" max="7430" width="0.85546875" style="108" customWidth="1"/>
    <col min="7431" max="7431" width="12.42578125" style="108" customWidth="1"/>
    <col min="7432" max="7432" width="0.85546875" style="108" customWidth="1"/>
    <col min="7433" max="7433" width="13.7109375" style="108" customWidth="1"/>
    <col min="7434" max="7678" width="11.5703125" style="108"/>
    <col min="7679" max="7679" width="7.85546875" style="108" customWidth="1"/>
    <col min="7680" max="7680" width="24.5703125" style="108" customWidth="1"/>
    <col min="7681" max="7681" width="3.7109375" style="108" customWidth="1"/>
    <col min="7682" max="7682" width="4.85546875" style="108" customWidth="1"/>
    <col min="7683" max="7683" width="0.85546875" style="108" customWidth="1"/>
    <col min="7684" max="7684" width="9" style="108" customWidth="1"/>
    <col min="7685" max="7685" width="10" style="108" customWidth="1"/>
    <col min="7686" max="7686" width="0.85546875" style="108" customWidth="1"/>
    <col min="7687" max="7687" width="12.42578125" style="108" customWidth="1"/>
    <col min="7688" max="7688" width="0.85546875" style="108" customWidth="1"/>
    <col min="7689" max="7689" width="13.7109375" style="108" customWidth="1"/>
    <col min="7690" max="7934" width="11.5703125" style="108"/>
    <col min="7935" max="7935" width="7.85546875" style="108" customWidth="1"/>
    <col min="7936" max="7936" width="24.5703125" style="108" customWidth="1"/>
    <col min="7937" max="7937" width="3.7109375" style="108" customWidth="1"/>
    <col min="7938" max="7938" width="4.85546875" style="108" customWidth="1"/>
    <col min="7939" max="7939" width="0.85546875" style="108" customWidth="1"/>
    <col min="7940" max="7940" width="9" style="108" customWidth="1"/>
    <col min="7941" max="7941" width="10" style="108" customWidth="1"/>
    <col min="7942" max="7942" width="0.85546875" style="108" customWidth="1"/>
    <col min="7943" max="7943" width="12.42578125" style="108" customWidth="1"/>
    <col min="7944" max="7944" width="0.85546875" style="108" customWidth="1"/>
    <col min="7945" max="7945" width="13.7109375" style="108" customWidth="1"/>
    <col min="7946" max="8190" width="11.5703125" style="108"/>
    <col min="8191" max="8191" width="7.85546875" style="108" customWidth="1"/>
    <col min="8192" max="8192" width="24.5703125" style="108" customWidth="1"/>
    <col min="8193" max="8193" width="3.7109375" style="108" customWidth="1"/>
    <col min="8194" max="8194" width="4.85546875" style="108" customWidth="1"/>
    <col min="8195" max="8195" width="0.85546875" style="108" customWidth="1"/>
    <col min="8196" max="8196" width="9" style="108" customWidth="1"/>
    <col min="8197" max="8197" width="10" style="108" customWidth="1"/>
    <col min="8198" max="8198" width="0.85546875" style="108" customWidth="1"/>
    <col min="8199" max="8199" width="12.42578125" style="108" customWidth="1"/>
    <col min="8200" max="8200" width="0.85546875" style="108" customWidth="1"/>
    <col min="8201" max="8201" width="13.7109375" style="108" customWidth="1"/>
    <col min="8202" max="8446" width="11.5703125" style="108"/>
    <col min="8447" max="8447" width="7.85546875" style="108" customWidth="1"/>
    <col min="8448" max="8448" width="24.5703125" style="108" customWidth="1"/>
    <col min="8449" max="8449" width="3.7109375" style="108" customWidth="1"/>
    <col min="8450" max="8450" width="4.85546875" style="108" customWidth="1"/>
    <col min="8451" max="8451" width="0.85546875" style="108" customWidth="1"/>
    <col min="8452" max="8452" width="9" style="108" customWidth="1"/>
    <col min="8453" max="8453" width="10" style="108" customWidth="1"/>
    <col min="8454" max="8454" width="0.85546875" style="108" customWidth="1"/>
    <col min="8455" max="8455" width="12.42578125" style="108" customWidth="1"/>
    <col min="8456" max="8456" width="0.85546875" style="108" customWidth="1"/>
    <col min="8457" max="8457" width="13.7109375" style="108" customWidth="1"/>
    <col min="8458" max="8702" width="11.5703125" style="108"/>
    <col min="8703" max="8703" width="7.85546875" style="108" customWidth="1"/>
    <col min="8704" max="8704" width="24.5703125" style="108" customWidth="1"/>
    <col min="8705" max="8705" width="3.7109375" style="108" customWidth="1"/>
    <col min="8706" max="8706" width="4.85546875" style="108" customWidth="1"/>
    <col min="8707" max="8707" width="0.85546875" style="108" customWidth="1"/>
    <col min="8708" max="8708" width="9" style="108" customWidth="1"/>
    <col min="8709" max="8709" width="10" style="108" customWidth="1"/>
    <col min="8710" max="8710" width="0.85546875" style="108" customWidth="1"/>
    <col min="8711" max="8711" width="12.42578125" style="108" customWidth="1"/>
    <col min="8712" max="8712" width="0.85546875" style="108" customWidth="1"/>
    <col min="8713" max="8713" width="13.7109375" style="108" customWidth="1"/>
    <col min="8714" max="8958" width="11.5703125" style="108"/>
    <col min="8959" max="8959" width="7.85546875" style="108" customWidth="1"/>
    <col min="8960" max="8960" width="24.5703125" style="108" customWidth="1"/>
    <col min="8961" max="8961" width="3.7109375" style="108" customWidth="1"/>
    <col min="8962" max="8962" width="4.85546875" style="108" customWidth="1"/>
    <col min="8963" max="8963" width="0.85546875" style="108" customWidth="1"/>
    <col min="8964" max="8964" width="9" style="108" customWidth="1"/>
    <col min="8965" max="8965" width="10" style="108" customWidth="1"/>
    <col min="8966" max="8966" width="0.85546875" style="108" customWidth="1"/>
    <col min="8967" max="8967" width="12.42578125" style="108" customWidth="1"/>
    <col min="8968" max="8968" width="0.85546875" style="108" customWidth="1"/>
    <col min="8969" max="8969" width="13.7109375" style="108" customWidth="1"/>
    <col min="8970" max="9214" width="11.5703125" style="108"/>
    <col min="9215" max="9215" width="7.85546875" style="108" customWidth="1"/>
    <col min="9216" max="9216" width="24.5703125" style="108" customWidth="1"/>
    <col min="9217" max="9217" width="3.7109375" style="108" customWidth="1"/>
    <col min="9218" max="9218" width="4.85546875" style="108" customWidth="1"/>
    <col min="9219" max="9219" width="0.85546875" style="108" customWidth="1"/>
    <col min="9220" max="9220" width="9" style="108" customWidth="1"/>
    <col min="9221" max="9221" width="10" style="108" customWidth="1"/>
    <col min="9222" max="9222" width="0.85546875" style="108" customWidth="1"/>
    <col min="9223" max="9223" width="12.42578125" style="108" customWidth="1"/>
    <col min="9224" max="9224" width="0.85546875" style="108" customWidth="1"/>
    <col min="9225" max="9225" width="13.7109375" style="108" customWidth="1"/>
    <col min="9226" max="9470" width="11.5703125" style="108"/>
    <col min="9471" max="9471" width="7.85546875" style="108" customWidth="1"/>
    <col min="9472" max="9472" width="24.5703125" style="108" customWidth="1"/>
    <col min="9473" max="9473" width="3.7109375" style="108" customWidth="1"/>
    <col min="9474" max="9474" width="4.85546875" style="108" customWidth="1"/>
    <col min="9475" max="9475" width="0.85546875" style="108" customWidth="1"/>
    <col min="9476" max="9476" width="9" style="108" customWidth="1"/>
    <col min="9477" max="9477" width="10" style="108" customWidth="1"/>
    <col min="9478" max="9478" width="0.85546875" style="108" customWidth="1"/>
    <col min="9479" max="9479" width="12.42578125" style="108" customWidth="1"/>
    <col min="9480" max="9480" width="0.85546875" style="108" customWidth="1"/>
    <col min="9481" max="9481" width="13.7109375" style="108" customWidth="1"/>
    <col min="9482" max="9726" width="11.5703125" style="108"/>
    <col min="9727" max="9727" width="7.85546875" style="108" customWidth="1"/>
    <col min="9728" max="9728" width="24.5703125" style="108" customWidth="1"/>
    <col min="9729" max="9729" width="3.7109375" style="108" customWidth="1"/>
    <col min="9730" max="9730" width="4.85546875" style="108" customWidth="1"/>
    <col min="9731" max="9731" width="0.85546875" style="108" customWidth="1"/>
    <col min="9732" max="9732" width="9" style="108" customWidth="1"/>
    <col min="9733" max="9733" width="10" style="108" customWidth="1"/>
    <col min="9734" max="9734" width="0.85546875" style="108" customWidth="1"/>
    <col min="9735" max="9735" width="12.42578125" style="108" customWidth="1"/>
    <col min="9736" max="9736" width="0.85546875" style="108" customWidth="1"/>
    <col min="9737" max="9737" width="13.7109375" style="108" customWidth="1"/>
    <col min="9738" max="9982" width="11.5703125" style="108"/>
    <col min="9983" max="9983" width="7.85546875" style="108" customWidth="1"/>
    <col min="9984" max="9984" width="24.5703125" style="108" customWidth="1"/>
    <col min="9985" max="9985" width="3.7109375" style="108" customWidth="1"/>
    <col min="9986" max="9986" width="4.85546875" style="108" customWidth="1"/>
    <col min="9987" max="9987" width="0.85546875" style="108" customWidth="1"/>
    <col min="9988" max="9988" width="9" style="108" customWidth="1"/>
    <col min="9989" max="9989" width="10" style="108" customWidth="1"/>
    <col min="9990" max="9990" width="0.85546875" style="108" customWidth="1"/>
    <col min="9991" max="9991" width="12.42578125" style="108" customWidth="1"/>
    <col min="9992" max="9992" width="0.85546875" style="108" customWidth="1"/>
    <col min="9993" max="9993" width="13.7109375" style="108" customWidth="1"/>
    <col min="9994" max="10238" width="11.5703125" style="108"/>
    <col min="10239" max="10239" width="7.85546875" style="108" customWidth="1"/>
    <col min="10240" max="10240" width="24.5703125" style="108" customWidth="1"/>
    <col min="10241" max="10241" width="3.7109375" style="108" customWidth="1"/>
    <col min="10242" max="10242" width="4.85546875" style="108" customWidth="1"/>
    <col min="10243" max="10243" width="0.85546875" style="108" customWidth="1"/>
    <col min="10244" max="10244" width="9" style="108" customWidth="1"/>
    <col min="10245" max="10245" width="10" style="108" customWidth="1"/>
    <col min="10246" max="10246" width="0.85546875" style="108" customWidth="1"/>
    <col min="10247" max="10247" width="12.42578125" style="108" customWidth="1"/>
    <col min="10248" max="10248" width="0.85546875" style="108" customWidth="1"/>
    <col min="10249" max="10249" width="13.7109375" style="108" customWidth="1"/>
    <col min="10250" max="10494" width="11.5703125" style="108"/>
    <col min="10495" max="10495" width="7.85546875" style="108" customWidth="1"/>
    <col min="10496" max="10496" width="24.5703125" style="108" customWidth="1"/>
    <col min="10497" max="10497" width="3.7109375" style="108" customWidth="1"/>
    <col min="10498" max="10498" width="4.85546875" style="108" customWidth="1"/>
    <col min="10499" max="10499" width="0.85546875" style="108" customWidth="1"/>
    <col min="10500" max="10500" width="9" style="108" customWidth="1"/>
    <col min="10501" max="10501" width="10" style="108" customWidth="1"/>
    <col min="10502" max="10502" width="0.85546875" style="108" customWidth="1"/>
    <col min="10503" max="10503" width="12.42578125" style="108" customWidth="1"/>
    <col min="10504" max="10504" width="0.85546875" style="108" customWidth="1"/>
    <col min="10505" max="10505" width="13.7109375" style="108" customWidth="1"/>
    <col min="10506" max="10750" width="11.5703125" style="108"/>
    <col min="10751" max="10751" width="7.85546875" style="108" customWidth="1"/>
    <col min="10752" max="10752" width="24.5703125" style="108" customWidth="1"/>
    <col min="10753" max="10753" width="3.7109375" style="108" customWidth="1"/>
    <col min="10754" max="10754" width="4.85546875" style="108" customWidth="1"/>
    <col min="10755" max="10755" width="0.85546875" style="108" customWidth="1"/>
    <col min="10756" max="10756" width="9" style="108" customWidth="1"/>
    <col min="10757" max="10757" width="10" style="108" customWidth="1"/>
    <col min="10758" max="10758" width="0.85546875" style="108" customWidth="1"/>
    <col min="10759" max="10759" width="12.42578125" style="108" customWidth="1"/>
    <col min="10760" max="10760" width="0.85546875" style="108" customWidth="1"/>
    <col min="10761" max="10761" width="13.7109375" style="108" customWidth="1"/>
    <col min="10762" max="11006" width="11.5703125" style="108"/>
    <col min="11007" max="11007" width="7.85546875" style="108" customWidth="1"/>
    <col min="11008" max="11008" width="24.5703125" style="108" customWidth="1"/>
    <col min="11009" max="11009" width="3.7109375" style="108" customWidth="1"/>
    <col min="11010" max="11010" width="4.85546875" style="108" customWidth="1"/>
    <col min="11011" max="11011" width="0.85546875" style="108" customWidth="1"/>
    <col min="11012" max="11012" width="9" style="108" customWidth="1"/>
    <col min="11013" max="11013" width="10" style="108" customWidth="1"/>
    <col min="11014" max="11014" width="0.85546875" style="108" customWidth="1"/>
    <col min="11015" max="11015" width="12.42578125" style="108" customWidth="1"/>
    <col min="11016" max="11016" width="0.85546875" style="108" customWidth="1"/>
    <col min="11017" max="11017" width="13.7109375" style="108" customWidth="1"/>
    <col min="11018" max="11262" width="11.5703125" style="108"/>
    <col min="11263" max="11263" width="7.85546875" style="108" customWidth="1"/>
    <col min="11264" max="11264" width="24.5703125" style="108" customWidth="1"/>
    <col min="11265" max="11265" width="3.7109375" style="108" customWidth="1"/>
    <col min="11266" max="11266" width="4.85546875" style="108" customWidth="1"/>
    <col min="11267" max="11267" width="0.85546875" style="108" customWidth="1"/>
    <col min="11268" max="11268" width="9" style="108" customWidth="1"/>
    <col min="11269" max="11269" width="10" style="108" customWidth="1"/>
    <col min="11270" max="11270" width="0.85546875" style="108" customWidth="1"/>
    <col min="11271" max="11271" width="12.42578125" style="108" customWidth="1"/>
    <col min="11272" max="11272" width="0.85546875" style="108" customWidth="1"/>
    <col min="11273" max="11273" width="13.7109375" style="108" customWidth="1"/>
    <col min="11274" max="11518" width="11.5703125" style="108"/>
    <col min="11519" max="11519" width="7.85546875" style="108" customWidth="1"/>
    <col min="11520" max="11520" width="24.5703125" style="108" customWidth="1"/>
    <col min="11521" max="11521" width="3.7109375" style="108" customWidth="1"/>
    <col min="11522" max="11522" width="4.85546875" style="108" customWidth="1"/>
    <col min="11523" max="11523" width="0.85546875" style="108" customWidth="1"/>
    <col min="11524" max="11524" width="9" style="108" customWidth="1"/>
    <col min="11525" max="11525" width="10" style="108" customWidth="1"/>
    <col min="11526" max="11526" width="0.85546875" style="108" customWidth="1"/>
    <col min="11527" max="11527" width="12.42578125" style="108" customWidth="1"/>
    <col min="11528" max="11528" width="0.85546875" style="108" customWidth="1"/>
    <col min="11529" max="11529" width="13.7109375" style="108" customWidth="1"/>
    <col min="11530" max="11774" width="11.5703125" style="108"/>
    <col min="11775" max="11775" width="7.85546875" style="108" customWidth="1"/>
    <col min="11776" max="11776" width="24.5703125" style="108" customWidth="1"/>
    <col min="11777" max="11777" width="3.7109375" style="108" customWidth="1"/>
    <col min="11778" max="11778" width="4.85546875" style="108" customWidth="1"/>
    <col min="11779" max="11779" width="0.85546875" style="108" customWidth="1"/>
    <col min="11780" max="11780" width="9" style="108" customWidth="1"/>
    <col min="11781" max="11781" width="10" style="108" customWidth="1"/>
    <col min="11782" max="11782" width="0.85546875" style="108" customWidth="1"/>
    <col min="11783" max="11783" width="12.42578125" style="108" customWidth="1"/>
    <col min="11784" max="11784" width="0.85546875" style="108" customWidth="1"/>
    <col min="11785" max="11785" width="13.7109375" style="108" customWidth="1"/>
    <col min="11786" max="12030" width="11.5703125" style="108"/>
    <col min="12031" max="12031" width="7.85546875" style="108" customWidth="1"/>
    <col min="12032" max="12032" width="24.5703125" style="108" customWidth="1"/>
    <col min="12033" max="12033" width="3.7109375" style="108" customWidth="1"/>
    <col min="12034" max="12034" width="4.85546875" style="108" customWidth="1"/>
    <col min="12035" max="12035" width="0.85546875" style="108" customWidth="1"/>
    <col min="12036" max="12036" width="9" style="108" customWidth="1"/>
    <col min="12037" max="12037" width="10" style="108" customWidth="1"/>
    <col min="12038" max="12038" width="0.85546875" style="108" customWidth="1"/>
    <col min="12039" max="12039" width="12.42578125" style="108" customWidth="1"/>
    <col min="12040" max="12040" width="0.85546875" style="108" customWidth="1"/>
    <col min="12041" max="12041" width="13.7109375" style="108" customWidth="1"/>
    <col min="12042" max="12286" width="11.5703125" style="108"/>
    <col min="12287" max="12287" width="7.85546875" style="108" customWidth="1"/>
    <col min="12288" max="12288" width="24.5703125" style="108" customWidth="1"/>
    <col min="12289" max="12289" width="3.7109375" style="108" customWidth="1"/>
    <col min="12290" max="12290" width="4.85546875" style="108" customWidth="1"/>
    <col min="12291" max="12291" width="0.85546875" style="108" customWidth="1"/>
    <col min="12292" max="12292" width="9" style="108" customWidth="1"/>
    <col min="12293" max="12293" width="10" style="108" customWidth="1"/>
    <col min="12294" max="12294" width="0.85546875" style="108" customWidth="1"/>
    <col min="12295" max="12295" width="12.42578125" style="108" customWidth="1"/>
    <col min="12296" max="12296" width="0.85546875" style="108" customWidth="1"/>
    <col min="12297" max="12297" width="13.7109375" style="108" customWidth="1"/>
    <col min="12298" max="12542" width="11.5703125" style="108"/>
    <col min="12543" max="12543" width="7.85546875" style="108" customWidth="1"/>
    <col min="12544" max="12544" width="24.5703125" style="108" customWidth="1"/>
    <col min="12545" max="12545" width="3.7109375" style="108" customWidth="1"/>
    <col min="12546" max="12546" width="4.85546875" style="108" customWidth="1"/>
    <col min="12547" max="12547" width="0.85546875" style="108" customWidth="1"/>
    <col min="12548" max="12548" width="9" style="108" customWidth="1"/>
    <col min="12549" max="12549" width="10" style="108" customWidth="1"/>
    <col min="12550" max="12550" width="0.85546875" style="108" customWidth="1"/>
    <col min="12551" max="12551" width="12.42578125" style="108" customWidth="1"/>
    <col min="12552" max="12552" width="0.85546875" style="108" customWidth="1"/>
    <col min="12553" max="12553" width="13.7109375" style="108" customWidth="1"/>
    <col min="12554" max="12798" width="11.5703125" style="108"/>
    <col min="12799" max="12799" width="7.85546875" style="108" customWidth="1"/>
    <col min="12800" max="12800" width="24.5703125" style="108" customWidth="1"/>
    <col min="12801" max="12801" width="3.7109375" style="108" customWidth="1"/>
    <col min="12802" max="12802" width="4.85546875" style="108" customWidth="1"/>
    <col min="12803" max="12803" width="0.85546875" style="108" customWidth="1"/>
    <col min="12804" max="12804" width="9" style="108" customWidth="1"/>
    <col min="12805" max="12805" width="10" style="108" customWidth="1"/>
    <col min="12806" max="12806" width="0.85546875" style="108" customWidth="1"/>
    <col min="12807" max="12807" width="12.42578125" style="108" customWidth="1"/>
    <col min="12808" max="12808" width="0.85546875" style="108" customWidth="1"/>
    <col min="12809" max="12809" width="13.7109375" style="108" customWidth="1"/>
    <col min="12810" max="13054" width="11.5703125" style="108"/>
    <col min="13055" max="13055" width="7.85546875" style="108" customWidth="1"/>
    <col min="13056" max="13056" width="24.5703125" style="108" customWidth="1"/>
    <col min="13057" max="13057" width="3.7109375" style="108" customWidth="1"/>
    <col min="13058" max="13058" width="4.85546875" style="108" customWidth="1"/>
    <col min="13059" max="13059" width="0.85546875" style="108" customWidth="1"/>
    <col min="13060" max="13060" width="9" style="108" customWidth="1"/>
    <col min="13061" max="13061" width="10" style="108" customWidth="1"/>
    <col min="13062" max="13062" width="0.85546875" style="108" customWidth="1"/>
    <col min="13063" max="13063" width="12.42578125" style="108" customWidth="1"/>
    <col min="13064" max="13064" width="0.85546875" style="108" customWidth="1"/>
    <col min="13065" max="13065" width="13.7109375" style="108" customWidth="1"/>
    <col min="13066" max="13310" width="11.5703125" style="108"/>
    <col min="13311" max="13311" width="7.85546875" style="108" customWidth="1"/>
    <col min="13312" max="13312" width="24.5703125" style="108" customWidth="1"/>
    <col min="13313" max="13313" width="3.7109375" style="108" customWidth="1"/>
    <col min="13314" max="13314" width="4.85546875" style="108" customWidth="1"/>
    <col min="13315" max="13315" width="0.85546875" style="108" customWidth="1"/>
    <col min="13316" max="13316" width="9" style="108" customWidth="1"/>
    <col min="13317" max="13317" width="10" style="108" customWidth="1"/>
    <col min="13318" max="13318" width="0.85546875" style="108" customWidth="1"/>
    <col min="13319" max="13319" width="12.42578125" style="108" customWidth="1"/>
    <col min="13320" max="13320" width="0.85546875" style="108" customWidth="1"/>
    <col min="13321" max="13321" width="13.7109375" style="108" customWidth="1"/>
    <col min="13322" max="13566" width="11.5703125" style="108"/>
    <col min="13567" max="13567" width="7.85546875" style="108" customWidth="1"/>
    <col min="13568" max="13568" width="24.5703125" style="108" customWidth="1"/>
    <col min="13569" max="13569" width="3.7109375" style="108" customWidth="1"/>
    <col min="13570" max="13570" width="4.85546875" style="108" customWidth="1"/>
    <col min="13571" max="13571" width="0.85546875" style="108" customWidth="1"/>
    <col min="13572" max="13572" width="9" style="108" customWidth="1"/>
    <col min="13573" max="13573" width="10" style="108" customWidth="1"/>
    <col min="13574" max="13574" width="0.85546875" style="108" customWidth="1"/>
    <col min="13575" max="13575" width="12.42578125" style="108" customWidth="1"/>
    <col min="13576" max="13576" width="0.85546875" style="108" customWidth="1"/>
    <col min="13577" max="13577" width="13.7109375" style="108" customWidth="1"/>
    <col min="13578" max="13822" width="11.5703125" style="108"/>
    <col min="13823" max="13823" width="7.85546875" style="108" customWidth="1"/>
    <col min="13824" max="13824" width="24.5703125" style="108" customWidth="1"/>
    <col min="13825" max="13825" width="3.7109375" style="108" customWidth="1"/>
    <col min="13826" max="13826" width="4.85546875" style="108" customWidth="1"/>
    <col min="13827" max="13827" width="0.85546875" style="108" customWidth="1"/>
    <col min="13828" max="13828" width="9" style="108" customWidth="1"/>
    <col min="13829" max="13829" width="10" style="108" customWidth="1"/>
    <col min="13830" max="13830" width="0.85546875" style="108" customWidth="1"/>
    <col min="13831" max="13831" width="12.42578125" style="108" customWidth="1"/>
    <col min="13832" max="13832" width="0.85546875" style="108" customWidth="1"/>
    <col min="13833" max="13833" width="13.7109375" style="108" customWidth="1"/>
    <col min="13834" max="14078" width="11.5703125" style="108"/>
    <col min="14079" max="14079" width="7.85546875" style="108" customWidth="1"/>
    <col min="14080" max="14080" width="24.5703125" style="108" customWidth="1"/>
    <col min="14081" max="14081" width="3.7109375" style="108" customWidth="1"/>
    <col min="14082" max="14082" width="4.85546875" style="108" customWidth="1"/>
    <col min="14083" max="14083" width="0.85546875" style="108" customWidth="1"/>
    <col min="14084" max="14084" width="9" style="108" customWidth="1"/>
    <col min="14085" max="14085" width="10" style="108" customWidth="1"/>
    <col min="14086" max="14086" width="0.85546875" style="108" customWidth="1"/>
    <col min="14087" max="14087" width="12.42578125" style="108" customWidth="1"/>
    <col min="14088" max="14088" width="0.85546875" style="108" customWidth="1"/>
    <col min="14089" max="14089" width="13.7109375" style="108" customWidth="1"/>
    <col min="14090" max="14334" width="11.5703125" style="108"/>
    <col min="14335" max="14335" width="7.85546875" style="108" customWidth="1"/>
    <col min="14336" max="14336" width="24.5703125" style="108" customWidth="1"/>
    <col min="14337" max="14337" width="3.7109375" style="108" customWidth="1"/>
    <col min="14338" max="14338" width="4.85546875" style="108" customWidth="1"/>
    <col min="14339" max="14339" width="0.85546875" style="108" customWidth="1"/>
    <col min="14340" max="14340" width="9" style="108" customWidth="1"/>
    <col min="14341" max="14341" width="10" style="108" customWidth="1"/>
    <col min="14342" max="14342" width="0.85546875" style="108" customWidth="1"/>
    <col min="14343" max="14343" width="12.42578125" style="108" customWidth="1"/>
    <col min="14344" max="14344" width="0.85546875" style="108" customWidth="1"/>
    <col min="14345" max="14345" width="13.7109375" style="108" customWidth="1"/>
    <col min="14346" max="14590" width="11.5703125" style="108"/>
    <col min="14591" max="14591" width="7.85546875" style="108" customWidth="1"/>
    <col min="14592" max="14592" width="24.5703125" style="108" customWidth="1"/>
    <col min="14593" max="14593" width="3.7109375" style="108" customWidth="1"/>
    <col min="14594" max="14594" width="4.85546875" style="108" customWidth="1"/>
    <col min="14595" max="14595" width="0.85546875" style="108" customWidth="1"/>
    <col min="14596" max="14596" width="9" style="108" customWidth="1"/>
    <col min="14597" max="14597" width="10" style="108" customWidth="1"/>
    <col min="14598" max="14598" width="0.85546875" style="108" customWidth="1"/>
    <col min="14599" max="14599" width="12.42578125" style="108" customWidth="1"/>
    <col min="14600" max="14600" width="0.85546875" style="108" customWidth="1"/>
    <col min="14601" max="14601" width="13.7109375" style="108" customWidth="1"/>
    <col min="14602" max="14846" width="11.5703125" style="108"/>
    <col min="14847" max="14847" width="7.85546875" style="108" customWidth="1"/>
    <col min="14848" max="14848" width="24.5703125" style="108" customWidth="1"/>
    <col min="14849" max="14849" width="3.7109375" style="108" customWidth="1"/>
    <col min="14850" max="14850" width="4.85546875" style="108" customWidth="1"/>
    <col min="14851" max="14851" width="0.85546875" style="108" customWidth="1"/>
    <col min="14852" max="14852" width="9" style="108" customWidth="1"/>
    <col min="14853" max="14853" width="10" style="108" customWidth="1"/>
    <col min="14854" max="14854" width="0.85546875" style="108" customWidth="1"/>
    <col min="14855" max="14855" width="12.42578125" style="108" customWidth="1"/>
    <col min="14856" max="14856" width="0.85546875" style="108" customWidth="1"/>
    <col min="14857" max="14857" width="13.7109375" style="108" customWidth="1"/>
    <col min="14858" max="15102" width="11.5703125" style="108"/>
    <col min="15103" max="15103" width="7.85546875" style="108" customWidth="1"/>
    <col min="15104" max="15104" width="24.5703125" style="108" customWidth="1"/>
    <col min="15105" max="15105" width="3.7109375" style="108" customWidth="1"/>
    <col min="15106" max="15106" width="4.85546875" style="108" customWidth="1"/>
    <col min="15107" max="15107" width="0.85546875" style="108" customWidth="1"/>
    <col min="15108" max="15108" width="9" style="108" customWidth="1"/>
    <col min="15109" max="15109" width="10" style="108" customWidth="1"/>
    <col min="15110" max="15110" width="0.85546875" style="108" customWidth="1"/>
    <col min="15111" max="15111" width="12.42578125" style="108" customWidth="1"/>
    <col min="15112" max="15112" width="0.85546875" style="108" customWidth="1"/>
    <col min="15113" max="15113" width="13.7109375" style="108" customWidth="1"/>
    <col min="15114" max="15358" width="11.5703125" style="108"/>
    <col min="15359" max="15359" width="7.85546875" style="108" customWidth="1"/>
    <col min="15360" max="15360" width="24.5703125" style="108" customWidth="1"/>
    <col min="15361" max="15361" width="3.7109375" style="108" customWidth="1"/>
    <col min="15362" max="15362" width="4.85546875" style="108" customWidth="1"/>
    <col min="15363" max="15363" width="0.85546875" style="108" customWidth="1"/>
    <col min="15364" max="15364" width="9" style="108" customWidth="1"/>
    <col min="15365" max="15365" width="10" style="108" customWidth="1"/>
    <col min="15366" max="15366" width="0.85546875" style="108" customWidth="1"/>
    <col min="15367" max="15367" width="12.42578125" style="108" customWidth="1"/>
    <col min="15368" max="15368" width="0.85546875" style="108" customWidth="1"/>
    <col min="15369" max="15369" width="13.7109375" style="108" customWidth="1"/>
    <col min="15370" max="15614" width="11.5703125" style="108"/>
    <col min="15615" max="15615" width="7.85546875" style="108" customWidth="1"/>
    <col min="15616" max="15616" width="24.5703125" style="108" customWidth="1"/>
    <col min="15617" max="15617" width="3.7109375" style="108" customWidth="1"/>
    <col min="15618" max="15618" width="4.85546875" style="108" customWidth="1"/>
    <col min="15619" max="15619" width="0.85546875" style="108" customWidth="1"/>
    <col min="15620" max="15620" width="9" style="108" customWidth="1"/>
    <col min="15621" max="15621" width="10" style="108" customWidth="1"/>
    <col min="15622" max="15622" width="0.85546875" style="108" customWidth="1"/>
    <col min="15623" max="15623" width="12.42578125" style="108" customWidth="1"/>
    <col min="15624" max="15624" width="0.85546875" style="108" customWidth="1"/>
    <col min="15625" max="15625" width="13.7109375" style="108" customWidth="1"/>
    <col min="15626" max="15870" width="11.5703125" style="108"/>
    <col min="15871" max="15871" width="7.85546875" style="108" customWidth="1"/>
    <col min="15872" max="15872" width="24.5703125" style="108" customWidth="1"/>
    <col min="15873" max="15873" width="3.7109375" style="108" customWidth="1"/>
    <col min="15874" max="15874" width="4.85546875" style="108" customWidth="1"/>
    <col min="15875" max="15875" width="0.85546875" style="108" customWidth="1"/>
    <col min="15876" max="15876" width="9" style="108" customWidth="1"/>
    <col min="15877" max="15877" width="10" style="108" customWidth="1"/>
    <col min="15878" max="15878" width="0.85546875" style="108" customWidth="1"/>
    <col min="15879" max="15879" width="12.42578125" style="108" customWidth="1"/>
    <col min="15880" max="15880" width="0.85546875" style="108" customWidth="1"/>
    <col min="15881" max="15881" width="13.7109375" style="108" customWidth="1"/>
    <col min="15882" max="16126" width="11.5703125" style="108"/>
    <col min="16127" max="16127" width="7.85546875" style="108" customWidth="1"/>
    <col min="16128" max="16128" width="24.5703125" style="108" customWidth="1"/>
    <col min="16129" max="16129" width="3.7109375" style="108" customWidth="1"/>
    <col min="16130" max="16130" width="4.85546875" style="108" customWidth="1"/>
    <col min="16131" max="16131" width="0.85546875" style="108" customWidth="1"/>
    <col min="16132" max="16132" width="9" style="108" customWidth="1"/>
    <col min="16133" max="16133" width="10" style="108" customWidth="1"/>
    <col min="16134" max="16134" width="0.85546875" style="108" customWidth="1"/>
    <col min="16135" max="16135" width="12.42578125" style="108" customWidth="1"/>
    <col min="16136" max="16136" width="0.85546875" style="108" customWidth="1"/>
    <col min="16137" max="16137" width="13.7109375" style="108" customWidth="1"/>
    <col min="16138" max="16384" width="11.5703125" style="108"/>
  </cols>
  <sheetData>
    <row r="1" spans="1:13">
      <c r="A1" s="2"/>
    </row>
    <row r="2" spans="1:13">
      <c r="D2" s="115"/>
    </row>
    <row r="3" spans="1:13" s="109" customFormat="1" ht="33.75" customHeight="1">
      <c r="A3" s="297" t="s">
        <v>280</v>
      </c>
      <c r="B3" s="297"/>
      <c r="C3" s="297"/>
      <c r="D3" s="297"/>
      <c r="E3" s="297"/>
      <c r="F3" s="297"/>
      <c r="G3" s="297"/>
      <c r="H3" s="297"/>
      <c r="I3" s="297"/>
      <c r="J3" s="115"/>
    </row>
    <row r="6" spans="1:13">
      <c r="E6" s="300" t="s">
        <v>196</v>
      </c>
      <c r="F6" s="300"/>
      <c r="G6" s="300"/>
      <c r="H6" s="300"/>
      <c r="I6" s="300"/>
      <c r="J6" s="301" t="s">
        <v>202</v>
      </c>
      <c r="K6" s="95"/>
    </row>
    <row r="7" spans="1:13" s="111" customFormat="1" ht="38.25" customHeight="1">
      <c r="A7" s="164" t="s">
        <v>197</v>
      </c>
      <c r="B7" s="164" t="s">
        <v>198</v>
      </c>
      <c r="C7" s="164" t="s">
        <v>199</v>
      </c>
      <c r="D7" s="162" t="s">
        <v>200</v>
      </c>
      <c r="E7" s="164" t="s">
        <v>201</v>
      </c>
      <c r="F7" s="203" t="s">
        <v>294</v>
      </c>
      <c r="G7" s="15" t="s">
        <v>248</v>
      </c>
      <c r="H7" s="164" t="s">
        <v>249</v>
      </c>
      <c r="I7" s="259" t="s">
        <v>37</v>
      </c>
      <c r="J7" s="301"/>
      <c r="K7" s="116"/>
    </row>
    <row r="8" spans="1:13" s="111" customFormat="1">
      <c r="A8" s="70">
        <v>1</v>
      </c>
      <c r="B8" s="197" t="s">
        <v>230</v>
      </c>
      <c r="C8" s="70" t="s">
        <v>203</v>
      </c>
      <c r="D8" s="12">
        <f>'C6B'!D8</f>
        <v>1</v>
      </c>
      <c r="E8" s="159">
        <f>'C6C'!E8+'C6C'!E8*'C6D'!$E$49</f>
        <v>4682.1918000000005</v>
      </c>
      <c r="F8" s="159">
        <f>D8*E8</f>
        <v>4682.1918000000005</v>
      </c>
      <c r="G8" s="165">
        <f>'C6C'!G8</f>
        <v>1.8</v>
      </c>
      <c r="H8" s="159">
        <f t="shared" ref="H8:H31" si="0">E8*G8</f>
        <v>8427.9452400000009</v>
      </c>
      <c r="I8" s="159">
        <f>(H8*D8)+F8</f>
        <v>13110.137040000001</v>
      </c>
      <c r="J8" s="127">
        <f>I8*$E$48</f>
        <v>157321.64448000002</v>
      </c>
      <c r="K8" s="116"/>
    </row>
    <row r="9" spans="1:13" s="111" customFormat="1">
      <c r="A9" s="70">
        <v>1</v>
      </c>
      <c r="B9" s="197" t="s">
        <v>258</v>
      </c>
      <c r="C9" s="70" t="s">
        <v>203</v>
      </c>
      <c r="D9" s="12">
        <f>'C6B'!D9</f>
        <v>1</v>
      </c>
      <c r="E9" s="159">
        <f>'C6C'!E9+'C6C'!E9*'C6D'!$E$49</f>
        <v>1827.1967999999999</v>
      </c>
      <c r="F9" s="159">
        <f t="shared" ref="F9:F31" si="1">D9*E9</f>
        <v>1827.1967999999999</v>
      </c>
      <c r="G9" s="165">
        <f>'C6C'!G9</f>
        <v>1.8</v>
      </c>
      <c r="H9" s="159">
        <f t="shared" si="0"/>
        <v>3288.95424</v>
      </c>
      <c r="I9" s="159">
        <f t="shared" ref="I9:I31" si="2">(H9*D9)+F9</f>
        <v>5116.1510399999997</v>
      </c>
      <c r="J9" s="127">
        <f t="shared" ref="J9:J13" si="3">I9*$E$48</f>
        <v>61393.812479999993</v>
      </c>
      <c r="K9" s="116"/>
    </row>
    <row r="10" spans="1:13" s="111" customFormat="1">
      <c r="A10" s="70">
        <v>1</v>
      </c>
      <c r="B10" s="197" t="s">
        <v>259</v>
      </c>
      <c r="C10" s="70" t="s">
        <v>203</v>
      </c>
      <c r="D10" s="12">
        <f>'C6B'!D10</f>
        <v>1</v>
      </c>
      <c r="E10" s="159">
        <f>'C6C'!E10+'C6C'!E10*'C6D'!$E$49</f>
        <v>1827.1967999999999</v>
      </c>
      <c r="F10" s="159">
        <f t="shared" si="1"/>
        <v>1827.1967999999999</v>
      </c>
      <c r="G10" s="165">
        <f>'C6C'!G10</f>
        <v>1.8</v>
      </c>
      <c r="H10" s="159">
        <f t="shared" si="0"/>
        <v>3288.95424</v>
      </c>
      <c r="I10" s="159">
        <f t="shared" si="2"/>
        <v>5116.1510399999997</v>
      </c>
      <c r="J10" s="127">
        <f t="shared" si="3"/>
        <v>61393.812479999993</v>
      </c>
      <c r="K10" s="116"/>
    </row>
    <row r="11" spans="1:13" s="111" customFormat="1">
      <c r="A11" s="70">
        <v>1</v>
      </c>
      <c r="B11" s="197" t="s">
        <v>260</v>
      </c>
      <c r="C11" s="70" t="s">
        <v>203</v>
      </c>
      <c r="D11" s="12">
        <f>'C6B'!D11</f>
        <v>1</v>
      </c>
      <c r="E11" s="159">
        <f>'C6C'!E11+'C6C'!E11*'C6D'!$E$49</f>
        <v>1827.1967999999999</v>
      </c>
      <c r="F11" s="159">
        <f t="shared" si="1"/>
        <v>1827.1967999999999</v>
      </c>
      <c r="G11" s="165">
        <f>'C6C'!G11</f>
        <v>1.8</v>
      </c>
      <c r="H11" s="159">
        <f t="shared" si="0"/>
        <v>3288.95424</v>
      </c>
      <c r="I11" s="159">
        <f t="shared" si="2"/>
        <v>5116.1510399999997</v>
      </c>
      <c r="J11" s="127">
        <f t="shared" si="3"/>
        <v>61393.812479999993</v>
      </c>
      <c r="K11" s="116"/>
    </row>
    <row r="12" spans="1:13" s="111" customFormat="1">
      <c r="A12" s="70">
        <v>1</v>
      </c>
      <c r="B12" s="197" t="s">
        <v>215</v>
      </c>
      <c r="C12" s="70" t="s">
        <v>203</v>
      </c>
      <c r="D12" s="12">
        <f>'C6B'!D12</f>
        <v>1</v>
      </c>
      <c r="E12" s="159">
        <f>'C6C'!E12+'C6C'!E12*'C6D'!$E$49</f>
        <v>4111.1928000000007</v>
      </c>
      <c r="F12" s="159">
        <f t="shared" si="1"/>
        <v>4111.1928000000007</v>
      </c>
      <c r="G12" s="165">
        <f>'C6C'!G12</f>
        <v>1.8</v>
      </c>
      <c r="H12" s="159">
        <f t="shared" si="0"/>
        <v>7400.1470400000017</v>
      </c>
      <c r="I12" s="159">
        <f t="shared" si="2"/>
        <v>11511.339840000002</v>
      </c>
      <c r="J12" s="127">
        <f t="shared" si="3"/>
        <v>138136.07808000004</v>
      </c>
      <c r="K12" s="116"/>
    </row>
    <row r="13" spans="1:13" s="111" customFormat="1">
      <c r="A13" s="70">
        <v>1</v>
      </c>
      <c r="B13" s="197" t="s">
        <v>216</v>
      </c>
      <c r="C13" s="70" t="s">
        <v>203</v>
      </c>
      <c r="D13" s="12">
        <f>'C6B'!D13</f>
        <v>1</v>
      </c>
      <c r="E13" s="159">
        <f>'C6C'!E13+'C6C'!E13*'C6D'!$E$49</f>
        <v>4111.1928000000007</v>
      </c>
      <c r="F13" s="159">
        <f t="shared" si="1"/>
        <v>4111.1928000000007</v>
      </c>
      <c r="G13" s="165">
        <f>'C6C'!G13</f>
        <v>1.8</v>
      </c>
      <c r="H13" s="159">
        <f t="shared" si="0"/>
        <v>7400.1470400000017</v>
      </c>
      <c r="I13" s="159">
        <f t="shared" si="2"/>
        <v>11511.339840000002</v>
      </c>
      <c r="J13" s="127">
        <f t="shared" si="3"/>
        <v>138136.07808000004</v>
      </c>
      <c r="K13" s="116"/>
    </row>
    <row r="14" spans="1:13" s="111" customFormat="1">
      <c r="A14" s="65">
        <v>2</v>
      </c>
      <c r="B14" s="198" t="s">
        <v>213</v>
      </c>
      <c r="C14" s="12" t="s">
        <v>203</v>
      </c>
      <c r="D14" s="12">
        <f>'C6B'!D14</f>
        <v>1</v>
      </c>
      <c r="E14" s="159">
        <f>'C6C'!E14+'C6C'!E14*'C6D'!$E$49</f>
        <v>2928.2</v>
      </c>
      <c r="F14" s="159">
        <f t="shared" si="1"/>
        <v>2928.2</v>
      </c>
      <c r="G14" s="165">
        <f>'C6C'!G14</f>
        <v>1.8</v>
      </c>
      <c r="H14" s="159">
        <f t="shared" si="0"/>
        <v>5270.76</v>
      </c>
      <c r="I14" s="159">
        <f t="shared" si="2"/>
        <v>8198.9599999999991</v>
      </c>
      <c r="J14" s="127">
        <f t="shared" ref="J14:J30" si="4">I14*$E$48</f>
        <v>98387.51999999999</v>
      </c>
      <c r="K14" s="116"/>
    </row>
    <row r="15" spans="1:13" s="111" customFormat="1">
      <c r="A15" s="65">
        <v>2</v>
      </c>
      <c r="B15" s="198" t="s">
        <v>214</v>
      </c>
      <c r="C15" s="12" t="s">
        <v>203</v>
      </c>
      <c r="D15" s="12">
        <f>'C6B'!D15</f>
        <v>1</v>
      </c>
      <c r="E15" s="159">
        <f>'C6C'!E15+'C6C'!E15*'C6D'!$E$49</f>
        <v>1331</v>
      </c>
      <c r="F15" s="159">
        <f t="shared" si="1"/>
        <v>1331</v>
      </c>
      <c r="G15" s="165">
        <f>'C6C'!G15</f>
        <v>1.8</v>
      </c>
      <c r="H15" s="159">
        <f t="shared" si="0"/>
        <v>2395.8000000000002</v>
      </c>
      <c r="I15" s="159">
        <f t="shared" si="2"/>
        <v>3726.8</v>
      </c>
      <c r="J15" s="127">
        <f t="shared" si="4"/>
        <v>44721.600000000006</v>
      </c>
      <c r="K15" s="116"/>
      <c r="L15" s="199"/>
      <c r="M15" s="199"/>
    </row>
    <row r="16" spans="1:13" s="111" customFormat="1">
      <c r="A16" s="65">
        <v>3</v>
      </c>
      <c r="B16" s="198" t="s">
        <v>217</v>
      </c>
      <c r="C16" s="12" t="s">
        <v>203</v>
      </c>
      <c r="D16" s="12">
        <f>'C6B'!D16</f>
        <v>2</v>
      </c>
      <c r="E16" s="159">
        <f>'C6C'!E16+'C6C'!E16*'C6D'!$E$49</f>
        <v>1597.2</v>
      </c>
      <c r="F16" s="159">
        <f t="shared" si="1"/>
        <v>3194.4</v>
      </c>
      <c r="G16" s="165">
        <f>'C6C'!G16</f>
        <v>1.8</v>
      </c>
      <c r="H16" s="159">
        <f t="shared" si="0"/>
        <v>2874.96</v>
      </c>
      <c r="I16" s="159">
        <f t="shared" si="2"/>
        <v>8944.32</v>
      </c>
      <c r="J16" s="127">
        <f t="shared" si="4"/>
        <v>107331.84</v>
      </c>
      <c r="K16" s="116"/>
      <c r="L16" s="199"/>
      <c r="M16" s="199"/>
    </row>
    <row r="17" spans="1:13" s="111" customFormat="1">
      <c r="A17" s="65">
        <v>3</v>
      </c>
      <c r="B17" s="198" t="s">
        <v>218</v>
      </c>
      <c r="C17" s="12" t="s">
        <v>203</v>
      </c>
      <c r="D17" s="12">
        <f>'C6B'!D17</f>
        <v>4</v>
      </c>
      <c r="E17" s="159">
        <f>'C6C'!E17+'C6C'!E17*'C6D'!$E$49</f>
        <v>1317.69</v>
      </c>
      <c r="F17" s="159">
        <f t="shared" si="1"/>
        <v>5270.76</v>
      </c>
      <c r="G17" s="165">
        <f>'C6C'!G17</f>
        <v>1.8</v>
      </c>
      <c r="H17" s="159">
        <f t="shared" si="0"/>
        <v>2371.8420000000001</v>
      </c>
      <c r="I17" s="159">
        <f t="shared" si="2"/>
        <v>14758.128000000001</v>
      </c>
      <c r="J17" s="127">
        <f t="shared" si="4"/>
        <v>177097.53600000002</v>
      </c>
      <c r="K17" s="116"/>
      <c r="L17" s="199"/>
      <c r="M17" s="199"/>
    </row>
    <row r="18" spans="1:13" s="111" customFormat="1">
      <c r="A18" s="65">
        <v>4</v>
      </c>
      <c r="B18" s="198" t="s">
        <v>261</v>
      </c>
      <c r="C18" s="12" t="s">
        <v>203</v>
      </c>
      <c r="D18" s="12">
        <f>'C6B'!D18</f>
        <v>10</v>
      </c>
      <c r="E18" s="159">
        <f>'C6C'!E18+'C6C'!E18*'C6D'!$E$49</f>
        <v>1170.1619599999999</v>
      </c>
      <c r="F18" s="159">
        <f t="shared" si="1"/>
        <v>11701.619599999998</v>
      </c>
      <c r="G18" s="165">
        <f>'C6C'!G18</f>
        <v>1.8</v>
      </c>
      <c r="H18" s="159">
        <f t="shared" si="0"/>
        <v>2106.2915279999997</v>
      </c>
      <c r="I18" s="159">
        <f t="shared" si="2"/>
        <v>32764.534879999996</v>
      </c>
      <c r="J18" s="127">
        <f t="shared" si="4"/>
        <v>393174.41855999996</v>
      </c>
      <c r="K18" s="116"/>
      <c r="L18" s="199"/>
      <c r="M18" s="199"/>
    </row>
    <row r="19" spans="1:13" s="111" customFormat="1">
      <c r="A19" s="65">
        <v>4</v>
      </c>
      <c r="B19" s="198" t="s">
        <v>262</v>
      </c>
      <c r="C19" s="12" t="s">
        <v>203</v>
      </c>
      <c r="D19" s="12">
        <f>'C6B'!D19</f>
        <v>8</v>
      </c>
      <c r="E19" s="159">
        <f>'C6C'!E19+'C6C'!E19*'C6D'!$E$49</f>
        <v>1259.1259999999997</v>
      </c>
      <c r="F19" s="159">
        <f t="shared" si="1"/>
        <v>10073.007999999998</v>
      </c>
      <c r="G19" s="165">
        <f>'C6C'!G19</f>
        <v>1.8</v>
      </c>
      <c r="H19" s="159">
        <f t="shared" si="0"/>
        <v>2266.4267999999997</v>
      </c>
      <c r="I19" s="159">
        <f t="shared" si="2"/>
        <v>28204.422399999996</v>
      </c>
      <c r="J19" s="127">
        <f t="shared" si="4"/>
        <v>338453.06879999995</v>
      </c>
      <c r="K19" s="116"/>
      <c r="L19" s="199"/>
      <c r="M19" s="199"/>
    </row>
    <row r="20" spans="1:13" s="111" customFormat="1">
      <c r="A20" s="65">
        <v>3</v>
      </c>
      <c r="B20" s="198" t="s">
        <v>219</v>
      </c>
      <c r="C20" s="12" t="s">
        <v>203</v>
      </c>
      <c r="D20" s="12">
        <f>'C6B'!D20</f>
        <v>2</v>
      </c>
      <c r="E20" s="159">
        <f>'C6C'!E20+'C6C'!E20*'C6D'!$E$49</f>
        <v>1170.3482999999999</v>
      </c>
      <c r="F20" s="159">
        <f t="shared" si="1"/>
        <v>2340.6965999999998</v>
      </c>
      <c r="G20" s="165">
        <f>'C6C'!G20</f>
        <v>1.8</v>
      </c>
      <c r="H20" s="159">
        <f t="shared" si="0"/>
        <v>2106.6269399999996</v>
      </c>
      <c r="I20" s="159">
        <f t="shared" si="2"/>
        <v>6553.9504799999995</v>
      </c>
      <c r="J20" s="127">
        <f t="shared" si="4"/>
        <v>78647.405759999994</v>
      </c>
      <c r="K20" s="116"/>
    </row>
    <row r="21" spans="1:13" s="111" customFormat="1">
      <c r="A21" s="65">
        <v>2</v>
      </c>
      <c r="B21" s="198" t="s">
        <v>220</v>
      </c>
      <c r="C21" s="12" t="s">
        <v>203</v>
      </c>
      <c r="D21" s="12">
        <f>'C6B'!D21</f>
        <v>1</v>
      </c>
      <c r="E21" s="159">
        <f>'C6C'!E21+'C6C'!E21*'C6D'!$E$49</f>
        <v>1996.5</v>
      </c>
      <c r="F21" s="159">
        <f t="shared" si="1"/>
        <v>1996.5</v>
      </c>
      <c r="G21" s="165">
        <f>'C6C'!G21</f>
        <v>1.8</v>
      </c>
      <c r="H21" s="159">
        <f t="shared" si="0"/>
        <v>3593.7000000000003</v>
      </c>
      <c r="I21" s="159">
        <f t="shared" si="2"/>
        <v>5590.2000000000007</v>
      </c>
      <c r="J21" s="127">
        <f t="shared" si="4"/>
        <v>67082.400000000009</v>
      </c>
      <c r="K21" s="116"/>
    </row>
    <row r="22" spans="1:13" s="111" customFormat="1">
      <c r="A22" s="65">
        <v>2</v>
      </c>
      <c r="B22" s="198" t="s">
        <v>221</v>
      </c>
      <c r="C22" s="12" t="s">
        <v>203</v>
      </c>
      <c r="D22" s="12">
        <f>'C6B'!D22</f>
        <v>1</v>
      </c>
      <c r="E22" s="159">
        <f>'C6C'!E22+'C6C'!E22*'C6D'!$E$49</f>
        <v>1827.1967999999999</v>
      </c>
      <c r="F22" s="159">
        <f t="shared" si="1"/>
        <v>1827.1967999999999</v>
      </c>
      <c r="G22" s="165">
        <f>'C6C'!G22</f>
        <v>1.8</v>
      </c>
      <c r="H22" s="159">
        <f t="shared" si="0"/>
        <v>3288.95424</v>
      </c>
      <c r="I22" s="159">
        <f t="shared" si="2"/>
        <v>5116.1510399999997</v>
      </c>
      <c r="J22" s="127">
        <f t="shared" si="4"/>
        <v>61393.812479999993</v>
      </c>
      <c r="K22" s="116"/>
    </row>
    <row r="23" spans="1:13" s="111" customFormat="1">
      <c r="A23" s="65">
        <v>2</v>
      </c>
      <c r="B23" s="198" t="s">
        <v>222</v>
      </c>
      <c r="C23" s="12" t="s">
        <v>203</v>
      </c>
      <c r="D23" s="12">
        <f>'C6B'!D23</f>
        <v>1</v>
      </c>
      <c r="E23" s="159">
        <f>'C6C'!E23+'C6C'!E23*'C6D'!$E$49</f>
        <v>1597.2</v>
      </c>
      <c r="F23" s="159">
        <f t="shared" si="1"/>
        <v>1597.2</v>
      </c>
      <c r="G23" s="165">
        <f>'C6C'!G23</f>
        <v>1.8</v>
      </c>
      <c r="H23" s="159">
        <f t="shared" si="0"/>
        <v>2874.96</v>
      </c>
      <c r="I23" s="159">
        <f t="shared" si="2"/>
        <v>4472.16</v>
      </c>
      <c r="J23" s="127">
        <f t="shared" si="4"/>
        <v>53665.919999999998</v>
      </c>
      <c r="K23" s="116"/>
    </row>
    <row r="24" spans="1:13" s="111" customFormat="1">
      <c r="A24" s="65">
        <v>2</v>
      </c>
      <c r="B24" s="198" t="s">
        <v>223</v>
      </c>
      <c r="C24" s="12" t="s">
        <v>203</v>
      </c>
      <c r="D24" s="12">
        <f>'C6B'!D24</f>
        <v>1</v>
      </c>
      <c r="E24" s="159">
        <f>'C6C'!E24+'C6C'!E24*'C6D'!$E$49</f>
        <v>1370.3976</v>
      </c>
      <c r="F24" s="159">
        <f t="shared" si="1"/>
        <v>1370.3976</v>
      </c>
      <c r="G24" s="165">
        <f>'C6C'!G24</f>
        <v>1.8</v>
      </c>
      <c r="H24" s="159">
        <f t="shared" si="0"/>
        <v>2466.7156800000002</v>
      </c>
      <c r="I24" s="159">
        <f t="shared" si="2"/>
        <v>3837.1132800000005</v>
      </c>
      <c r="J24" s="127">
        <f t="shared" si="4"/>
        <v>46045.359360000002</v>
      </c>
      <c r="K24" s="116"/>
    </row>
    <row r="25" spans="1:13">
      <c r="A25" s="65">
        <v>3</v>
      </c>
      <c r="B25" s="198" t="s">
        <v>229</v>
      </c>
      <c r="C25" s="12" t="s">
        <v>203</v>
      </c>
      <c r="D25" s="12">
        <f>'C6B'!D25</f>
        <v>3</v>
      </c>
      <c r="E25" s="159">
        <f>'C6C'!E25+'C6C'!E25*'C6D'!$E$49</f>
        <v>1170.1619599999999</v>
      </c>
      <c r="F25" s="159">
        <f t="shared" si="1"/>
        <v>3510.4858799999997</v>
      </c>
      <c r="G25" s="165">
        <f>'C6C'!G25</f>
        <v>1.8</v>
      </c>
      <c r="H25" s="159">
        <f t="shared" si="0"/>
        <v>2106.2915279999997</v>
      </c>
      <c r="I25" s="159">
        <f t="shared" si="2"/>
        <v>9829.3604639999994</v>
      </c>
      <c r="J25" s="127">
        <f t="shared" si="4"/>
        <v>117952.325568</v>
      </c>
      <c r="K25" s="95"/>
    </row>
    <row r="26" spans="1:13">
      <c r="A26" s="65">
        <v>3</v>
      </c>
      <c r="B26" s="198" t="s">
        <v>224</v>
      </c>
      <c r="C26" s="12" t="s">
        <v>203</v>
      </c>
      <c r="D26" s="12">
        <f>'C6B'!D26</f>
        <v>3</v>
      </c>
      <c r="E26" s="159">
        <f>'C6C'!E26+'C6C'!E26*'C6D'!$E$49</f>
        <v>1464.1</v>
      </c>
      <c r="F26" s="159">
        <f t="shared" si="1"/>
        <v>4392.2999999999993</v>
      </c>
      <c r="G26" s="165">
        <f>'C6C'!G26</f>
        <v>1.8</v>
      </c>
      <c r="H26" s="159">
        <f t="shared" si="0"/>
        <v>2635.38</v>
      </c>
      <c r="I26" s="159">
        <f t="shared" si="2"/>
        <v>12298.439999999999</v>
      </c>
      <c r="J26" s="127">
        <f t="shared" si="4"/>
        <v>147581.27999999997</v>
      </c>
      <c r="K26" s="95"/>
    </row>
    <row r="27" spans="1:13">
      <c r="A27" s="65">
        <v>3</v>
      </c>
      <c r="B27" s="198" t="s">
        <v>225</v>
      </c>
      <c r="C27" s="12" t="s">
        <v>203</v>
      </c>
      <c r="D27" s="12">
        <f>'C6B'!D27</f>
        <v>2</v>
      </c>
      <c r="E27" s="159">
        <f>'C6C'!E27+'C6C'!E27*'C6D'!$E$49</f>
        <v>1331</v>
      </c>
      <c r="F27" s="159">
        <f t="shared" si="1"/>
        <v>2662</v>
      </c>
      <c r="G27" s="165">
        <f>'C6C'!G27</f>
        <v>1.8</v>
      </c>
      <c r="H27" s="159">
        <f t="shared" si="0"/>
        <v>2395.8000000000002</v>
      </c>
      <c r="I27" s="159">
        <f t="shared" si="2"/>
        <v>7453.6</v>
      </c>
      <c r="J27" s="127">
        <f t="shared" si="4"/>
        <v>89443.200000000012</v>
      </c>
      <c r="K27" s="95"/>
    </row>
    <row r="28" spans="1:13">
      <c r="A28" s="65">
        <v>4</v>
      </c>
      <c r="B28" s="198" t="s">
        <v>226</v>
      </c>
      <c r="C28" s="12" t="s">
        <v>203</v>
      </c>
      <c r="D28" s="12">
        <f>'C6B'!D28</f>
        <v>10</v>
      </c>
      <c r="E28" s="159">
        <f>'C6C'!E28+'C6C'!E28*'C6D'!$E$49</f>
        <v>1223.4019600000001</v>
      </c>
      <c r="F28" s="159">
        <f t="shared" si="1"/>
        <v>12234.019600000001</v>
      </c>
      <c r="G28" s="165">
        <f>'C6C'!G28</f>
        <v>1.8</v>
      </c>
      <c r="H28" s="159">
        <f t="shared" si="0"/>
        <v>2202.1235280000005</v>
      </c>
      <c r="I28" s="159">
        <f t="shared" si="2"/>
        <v>34255.254880000008</v>
      </c>
      <c r="J28" s="127">
        <f t="shared" si="4"/>
        <v>411063.05856000009</v>
      </c>
      <c r="K28" s="95"/>
    </row>
    <row r="29" spans="1:13">
      <c r="A29" s="65">
        <v>4</v>
      </c>
      <c r="B29" s="198" t="s">
        <v>228</v>
      </c>
      <c r="C29" s="12" t="s">
        <v>203</v>
      </c>
      <c r="D29" s="12">
        <f>'C6B'!D29</f>
        <v>1</v>
      </c>
      <c r="E29" s="159">
        <f>'C6C'!E29+'C6C'!E29*'C6D'!$E$49</f>
        <v>1118.04</v>
      </c>
      <c r="F29" s="159">
        <f t="shared" si="1"/>
        <v>1118.04</v>
      </c>
      <c r="G29" s="165">
        <f>'C6C'!G29</f>
        <v>1.8</v>
      </c>
      <c r="H29" s="159">
        <f t="shared" si="0"/>
        <v>2012.472</v>
      </c>
      <c r="I29" s="159">
        <f t="shared" si="2"/>
        <v>3130.5119999999997</v>
      </c>
      <c r="J29" s="127">
        <f t="shared" si="4"/>
        <v>37566.144</v>
      </c>
      <c r="K29" s="95"/>
    </row>
    <row r="30" spans="1:13">
      <c r="A30" s="65">
        <v>3</v>
      </c>
      <c r="B30" s="198" t="s">
        <v>227</v>
      </c>
      <c r="C30" s="12" t="s">
        <v>203</v>
      </c>
      <c r="D30" s="12">
        <f>'C6B'!D30</f>
        <v>1</v>
      </c>
      <c r="E30" s="159">
        <f>'C6C'!E30+'C6C'!E30*'C6D'!$E$49</f>
        <v>1796.85</v>
      </c>
      <c r="F30" s="159">
        <f t="shared" si="1"/>
        <v>1796.85</v>
      </c>
      <c r="G30" s="165">
        <f>'C6C'!G30</f>
        <v>1.8</v>
      </c>
      <c r="H30" s="159">
        <f t="shared" si="0"/>
        <v>3234.33</v>
      </c>
      <c r="I30" s="159">
        <f t="shared" si="2"/>
        <v>5031.18</v>
      </c>
      <c r="J30" s="127">
        <f t="shared" si="4"/>
        <v>60374.16</v>
      </c>
      <c r="K30" s="95"/>
    </row>
    <row r="31" spans="1:13">
      <c r="A31" s="65">
        <v>3</v>
      </c>
      <c r="B31" s="198" t="s">
        <v>253</v>
      </c>
      <c r="C31" s="12" t="s">
        <v>204</v>
      </c>
      <c r="D31" s="12">
        <f>'C6B'!D31</f>
        <v>2</v>
      </c>
      <c r="E31" s="159">
        <f>'C6C'!E31+'C6C'!E31*'C6D'!$E$49</f>
        <v>798.6</v>
      </c>
      <c r="F31" s="159">
        <f t="shared" si="1"/>
        <v>1597.2</v>
      </c>
      <c r="G31" s="165">
        <f>'C6C'!G31</f>
        <v>1.8</v>
      </c>
      <c r="H31" s="159">
        <f t="shared" si="0"/>
        <v>1437.48</v>
      </c>
      <c r="I31" s="159">
        <f t="shared" si="2"/>
        <v>4472.16</v>
      </c>
      <c r="J31" s="127">
        <f>I31*$E$50</f>
        <v>13416.48</v>
      </c>
      <c r="K31" s="95"/>
    </row>
    <row r="32" spans="1:13" s="110" customFormat="1">
      <c r="A32" s="7"/>
      <c r="B32" s="163" t="s">
        <v>162</v>
      </c>
      <c r="C32" s="8"/>
      <c r="D32" s="8">
        <f>SUM(D8:D31)</f>
        <v>60</v>
      </c>
      <c r="E32" s="131">
        <f>SUM(E8:E31)</f>
        <v>44853.342379999995</v>
      </c>
      <c r="F32" s="131">
        <f>SUM(F8:F31)</f>
        <v>89328.04187999999</v>
      </c>
      <c r="G32" s="8"/>
      <c r="H32" s="131">
        <f>SUM(H8:H31)</f>
        <v>80736.016283999998</v>
      </c>
      <c r="I32" s="131">
        <f>SUM(I8:I31)</f>
        <v>250118.51726399999</v>
      </c>
      <c r="J32" s="131">
        <f>SUM(J8:J31)</f>
        <v>2961172.7671679999</v>
      </c>
      <c r="K32" s="115"/>
    </row>
    <row r="33" spans="1:11">
      <c r="B33" s="95"/>
      <c r="G33" s="5"/>
      <c r="H33" s="5"/>
      <c r="I33" s="5"/>
    </row>
    <row r="34" spans="1:11" ht="31.5">
      <c r="D34" s="202" t="s">
        <v>200</v>
      </c>
      <c r="E34" s="164" t="s">
        <v>249</v>
      </c>
      <c r="F34" s="15" t="s">
        <v>37</v>
      </c>
      <c r="G34" s="15" t="s">
        <v>202</v>
      </c>
      <c r="I34" s="108"/>
      <c r="J34" s="200"/>
    </row>
    <row r="35" spans="1:11">
      <c r="A35" s="65">
        <v>1</v>
      </c>
      <c r="B35" s="12" t="s">
        <v>205</v>
      </c>
      <c r="C35" s="12"/>
      <c r="D35" s="11">
        <f>SUMIF($A$8:$A$31,A35,$D$8:$D$31)</f>
        <v>6</v>
      </c>
      <c r="E35" s="127">
        <f>SUMIF($A$8:$A$31,A35,$H$8:$H$31)</f>
        <v>33095.102040000005</v>
      </c>
      <c r="F35" s="127">
        <f>SUMIF($A$8:$A$31,A35,$I$8:$I$31)</f>
        <v>51481.269840000008</v>
      </c>
      <c r="G35" s="127">
        <f>SUMIF($A$8:$A$31,A35,$J$8:$J$31)</f>
        <v>617775.23808000004</v>
      </c>
      <c r="I35" s="108"/>
      <c r="J35" s="200"/>
    </row>
    <row r="36" spans="1:11">
      <c r="A36" s="65">
        <v>2</v>
      </c>
      <c r="B36" s="12" t="s">
        <v>206</v>
      </c>
      <c r="C36" s="12"/>
      <c r="D36" s="11">
        <f>SUMIF($A$8:$A$31,A36,$D$8:$D$31)</f>
        <v>6</v>
      </c>
      <c r="E36" s="127">
        <f>SUMIF($A$8:$A$31,A36,$H$8:$H$31)</f>
        <v>19890.889920000001</v>
      </c>
      <c r="F36" s="127">
        <f>SUMIF($A$8:$A$31,A36,$I$8:$I$31)</f>
        <v>30941.384320000001</v>
      </c>
      <c r="G36" s="127">
        <f>SUMIF($A$8:$A$31,A36,$J$8:$J$31)</f>
        <v>371296.61183999997</v>
      </c>
      <c r="I36" s="108"/>
      <c r="J36" s="200"/>
    </row>
    <row r="37" spans="1:11">
      <c r="A37" s="65">
        <v>3</v>
      </c>
      <c r="B37" s="12" t="s">
        <v>207</v>
      </c>
      <c r="C37" s="12"/>
      <c r="D37" s="11">
        <f>SUMIF($A$8:$A$31,A37,$D$8:$D$31)</f>
        <v>19</v>
      </c>
      <c r="E37" s="127">
        <f>SUMIF($A$8:$A$31,A37,$H$8:$H$31)</f>
        <v>19162.710468000001</v>
      </c>
      <c r="F37" s="127">
        <f>SUMIF($A$8:$A$31,A37,$I$8:$I$31)</f>
        <v>69341.138944000006</v>
      </c>
      <c r="G37" s="127">
        <f>SUMIF($A$8:$A$31,A37,$J$8:$J$31)</f>
        <v>791844.22732800001</v>
      </c>
      <c r="I37" s="108"/>
      <c r="J37" s="200"/>
    </row>
    <row r="38" spans="1:11">
      <c r="A38" s="65">
        <v>4</v>
      </c>
      <c r="B38" s="12" t="s">
        <v>208</v>
      </c>
      <c r="C38" s="12"/>
      <c r="D38" s="11">
        <f>SUMIF($A$8:$A$31,A38,$D$8:$D$31)</f>
        <v>29</v>
      </c>
      <c r="E38" s="127">
        <f>SUMIF($A$8:$A$31,A38,$H$8:$H$31)</f>
        <v>8587.3138559999989</v>
      </c>
      <c r="F38" s="127">
        <f>SUMIF($A$8:$A$31,A38,$I$8:$I$31)</f>
        <v>98354.724159999998</v>
      </c>
      <c r="G38" s="127">
        <f>SUMIF($A$8:$A$31,A38,$J$8:$J$31)</f>
        <v>1180256.68992</v>
      </c>
      <c r="I38" s="108"/>
      <c r="J38" s="200"/>
    </row>
    <row r="39" spans="1:11" s="110" customFormat="1">
      <c r="A39" s="7"/>
      <c r="B39" s="163" t="s">
        <v>162</v>
      </c>
      <c r="C39" s="8"/>
      <c r="D39" s="13">
        <f>SUM(D35:D38)</f>
        <v>60</v>
      </c>
      <c r="E39" s="131">
        <f>SUM(E35:E38)</f>
        <v>80736.016283999998</v>
      </c>
      <c r="F39" s="131">
        <f>SUM(F35:F38)</f>
        <v>250118.51726400002</v>
      </c>
      <c r="G39" s="131">
        <f>SUM(G35:G38)</f>
        <v>2961172.7671680003</v>
      </c>
      <c r="H39" s="2"/>
      <c r="J39" s="201"/>
    </row>
    <row r="40" spans="1:11">
      <c r="G40" s="5"/>
      <c r="H40" s="5"/>
      <c r="I40" s="5"/>
    </row>
    <row r="41" spans="1:11" ht="31.5">
      <c r="D41" s="202" t="s">
        <v>200</v>
      </c>
      <c r="E41" s="203" t="s">
        <v>298</v>
      </c>
      <c r="F41" s="203" t="s">
        <v>299</v>
      </c>
      <c r="G41" s="211" t="s">
        <v>300</v>
      </c>
      <c r="H41" s="211" t="s">
        <v>202</v>
      </c>
      <c r="J41" s="108"/>
      <c r="K41" s="200"/>
    </row>
    <row r="42" spans="1:11">
      <c r="B42" s="9" t="s">
        <v>209</v>
      </c>
      <c r="C42" s="65" t="s">
        <v>203</v>
      </c>
      <c r="D42" s="138">
        <f>SUMIF(C8:C31,C42,D8:D31)</f>
        <v>58</v>
      </c>
      <c r="E42" s="151">
        <f>SUMIF(C8:C31,C42,F8:F31)</f>
        <v>87730.841879999993</v>
      </c>
      <c r="F42" s="127">
        <f>SUMIF(C8:C31,C42,H8:H31)</f>
        <v>79298.536284000002</v>
      </c>
      <c r="G42" s="127">
        <f>SUMIF(C8:C31,C42,I8:I31)</f>
        <v>245646.35726399999</v>
      </c>
      <c r="H42" s="127">
        <f>SUMIF(C8:C31,C42,J8:J31)</f>
        <v>2947756.2871679999</v>
      </c>
      <c r="J42" s="108"/>
      <c r="K42" s="200"/>
    </row>
    <row r="43" spans="1:11">
      <c r="B43" s="9" t="s">
        <v>210</v>
      </c>
      <c r="C43" s="65" t="s">
        <v>204</v>
      </c>
      <c r="D43" s="138">
        <f>SUMIF(C8:C31,C43,D8:D31)</f>
        <v>2</v>
      </c>
      <c r="E43" s="151">
        <f>SUMIF(C8:C31,C43,F8:F31)</f>
        <v>1597.2</v>
      </c>
      <c r="F43" s="127">
        <f>SUMIF(C8:C31,C43,H8:H31)</f>
        <v>1437.48</v>
      </c>
      <c r="G43" s="127">
        <f>SUMIF(C8:C31,C43,I8:I31)</f>
        <v>4472.16</v>
      </c>
      <c r="H43" s="127">
        <f>SUMIF(C8:C31,C43,J8:J31)</f>
        <v>13416.48</v>
      </c>
      <c r="J43" s="108"/>
      <c r="K43" s="200"/>
    </row>
    <row r="44" spans="1:11" s="110" customFormat="1">
      <c r="A44" s="2"/>
      <c r="B44" s="163" t="s">
        <v>162</v>
      </c>
      <c r="C44" s="7"/>
      <c r="D44" s="137">
        <f>SUM(D42:D43)</f>
        <v>60</v>
      </c>
      <c r="E44" s="131">
        <f>SUM(E42:E43)</f>
        <v>89328.04187999999</v>
      </c>
      <c r="F44" s="131">
        <f>SUM(F42:F43)</f>
        <v>80736.016283999998</v>
      </c>
      <c r="G44" s="131">
        <f>SUM(G42:G43)</f>
        <v>250118.51726399999</v>
      </c>
      <c r="H44" s="131">
        <f>SUM(H42:H43)</f>
        <v>2961172.7671679999</v>
      </c>
      <c r="I44" s="2"/>
      <c r="K44" s="201"/>
    </row>
    <row r="45" spans="1:11">
      <c r="E45" s="5"/>
      <c r="F45" s="5"/>
      <c r="H45" s="108"/>
      <c r="I45" s="108"/>
      <c r="J45" s="200"/>
    </row>
    <row r="46" spans="1:11">
      <c r="B46" s="2" t="s">
        <v>95</v>
      </c>
      <c r="H46" s="108"/>
      <c r="I46" s="108"/>
      <c r="J46" s="200"/>
    </row>
    <row r="47" spans="1:11">
      <c r="B47" s="3" t="s">
        <v>248</v>
      </c>
      <c r="E47" s="4">
        <v>1.8</v>
      </c>
      <c r="F47" s="4"/>
      <c r="G47" s="3" t="s">
        <v>252</v>
      </c>
    </row>
    <row r="48" spans="1:11">
      <c r="B48" s="3" t="s">
        <v>23</v>
      </c>
      <c r="E48" s="3">
        <v>12</v>
      </c>
      <c r="G48" s="3" t="s">
        <v>24</v>
      </c>
    </row>
    <row r="49" spans="2:12">
      <c r="B49" s="3" t="s">
        <v>211</v>
      </c>
      <c r="E49" s="4">
        <v>0.1</v>
      </c>
      <c r="F49" s="4"/>
      <c r="G49" s="3" t="s">
        <v>212</v>
      </c>
    </row>
    <row r="50" spans="2:12" s="3" customFormat="1">
      <c r="B50" s="3" t="s">
        <v>254</v>
      </c>
      <c r="D50" s="95"/>
      <c r="E50" s="3">
        <v>3</v>
      </c>
      <c r="J50" s="95"/>
      <c r="K50" s="108"/>
      <c r="L50" s="108"/>
    </row>
    <row r="51" spans="2:12" ht="30.6" customHeight="1">
      <c r="B51" s="302" t="s">
        <v>277</v>
      </c>
      <c r="C51" s="302"/>
      <c r="D51" s="302"/>
      <c r="E51" s="302"/>
      <c r="F51" s="302"/>
      <c r="G51" s="302"/>
    </row>
    <row r="53" spans="2:12">
      <c r="B53" s="204"/>
    </row>
    <row r="54" spans="2:12">
      <c r="B54" s="204"/>
    </row>
    <row r="55" spans="2:12">
      <c r="B55" s="204"/>
    </row>
    <row r="56" spans="2:12">
      <c r="B56" s="204"/>
    </row>
    <row r="57" spans="2:12">
      <c r="B57" s="204"/>
    </row>
    <row r="58" spans="2:12">
      <c r="B58" s="204"/>
    </row>
    <row r="59" spans="2:12">
      <c r="B59" s="204"/>
    </row>
    <row r="61" spans="2:12">
      <c r="E61" s="95"/>
    </row>
  </sheetData>
  <mergeCells count="4">
    <mergeCell ref="A3:I3"/>
    <mergeCell ref="J6:J7"/>
    <mergeCell ref="B51:G51"/>
    <mergeCell ref="E6:I6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9" workbookViewId="0">
      <selection activeCell="H30" sqref="H30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6" style="3" customWidth="1"/>
    <col min="4" max="4" width="4.85546875" style="95" customWidth="1"/>
    <col min="5" max="5" width="17.5703125" style="3" customWidth="1"/>
    <col min="6" max="6" width="17.5703125" style="3" bestFit="1" customWidth="1"/>
    <col min="7" max="7" width="20.5703125" style="3" customWidth="1"/>
    <col min="8" max="8" width="13.28515625" style="3" customWidth="1"/>
    <col min="9" max="9" width="13.7109375" style="3" customWidth="1"/>
    <col min="10" max="10" width="16.28515625" style="95" customWidth="1"/>
    <col min="11" max="11" width="10.7109375" style="108" bestFit="1" customWidth="1"/>
    <col min="12" max="12" width="20.140625" style="108" customWidth="1"/>
    <col min="13" max="254" width="11.5703125" style="108"/>
    <col min="255" max="255" width="7.85546875" style="108" customWidth="1"/>
    <col min="256" max="256" width="24.5703125" style="108" customWidth="1"/>
    <col min="257" max="257" width="3.7109375" style="108" customWidth="1"/>
    <col min="258" max="258" width="4.85546875" style="108" customWidth="1"/>
    <col min="259" max="259" width="0.85546875" style="108" customWidth="1"/>
    <col min="260" max="260" width="9" style="108" customWidth="1"/>
    <col min="261" max="261" width="10" style="108" customWidth="1"/>
    <col min="262" max="262" width="0.85546875" style="108" customWidth="1"/>
    <col min="263" max="263" width="12.42578125" style="108" customWidth="1"/>
    <col min="264" max="264" width="0.85546875" style="108" customWidth="1"/>
    <col min="265" max="265" width="13.7109375" style="108" customWidth="1"/>
    <col min="266" max="510" width="11.5703125" style="108"/>
    <col min="511" max="511" width="7.85546875" style="108" customWidth="1"/>
    <col min="512" max="512" width="24.5703125" style="108" customWidth="1"/>
    <col min="513" max="513" width="3.7109375" style="108" customWidth="1"/>
    <col min="514" max="514" width="4.85546875" style="108" customWidth="1"/>
    <col min="515" max="515" width="0.85546875" style="108" customWidth="1"/>
    <col min="516" max="516" width="9" style="108" customWidth="1"/>
    <col min="517" max="517" width="10" style="108" customWidth="1"/>
    <col min="518" max="518" width="0.85546875" style="108" customWidth="1"/>
    <col min="519" max="519" width="12.42578125" style="108" customWidth="1"/>
    <col min="520" max="520" width="0.85546875" style="108" customWidth="1"/>
    <col min="521" max="521" width="13.7109375" style="108" customWidth="1"/>
    <col min="522" max="766" width="11.5703125" style="108"/>
    <col min="767" max="767" width="7.85546875" style="108" customWidth="1"/>
    <col min="768" max="768" width="24.5703125" style="108" customWidth="1"/>
    <col min="769" max="769" width="3.7109375" style="108" customWidth="1"/>
    <col min="770" max="770" width="4.85546875" style="108" customWidth="1"/>
    <col min="771" max="771" width="0.85546875" style="108" customWidth="1"/>
    <col min="772" max="772" width="9" style="108" customWidth="1"/>
    <col min="773" max="773" width="10" style="108" customWidth="1"/>
    <col min="774" max="774" width="0.85546875" style="108" customWidth="1"/>
    <col min="775" max="775" width="12.42578125" style="108" customWidth="1"/>
    <col min="776" max="776" width="0.85546875" style="108" customWidth="1"/>
    <col min="777" max="777" width="13.7109375" style="108" customWidth="1"/>
    <col min="778" max="1022" width="11.5703125" style="108"/>
    <col min="1023" max="1023" width="7.85546875" style="108" customWidth="1"/>
    <col min="1024" max="1024" width="24.5703125" style="108" customWidth="1"/>
    <col min="1025" max="1025" width="3.7109375" style="108" customWidth="1"/>
    <col min="1026" max="1026" width="4.85546875" style="108" customWidth="1"/>
    <col min="1027" max="1027" width="0.85546875" style="108" customWidth="1"/>
    <col min="1028" max="1028" width="9" style="108" customWidth="1"/>
    <col min="1029" max="1029" width="10" style="108" customWidth="1"/>
    <col min="1030" max="1030" width="0.85546875" style="108" customWidth="1"/>
    <col min="1031" max="1031" width="12.42578125" style="108" customWidth="1"/>
    <col min="1032" max="1032" width="0.85546875" style="108" customWidth="1"/>
    <col min="1033" max="1033" width="13.7109375" style="108" customWidth="1"/>
    <col min="1034" max="1278" width="11.5703125" style="108"/>
    <col min="1279" max="1279" width="7.85546875" style="108" customWidth="1"/>
    <col min="1280" max="1280" width="24.5703125" style="108" customWidth="1"/>
    <col min="1281" max="1281" width="3.7109375" style="108" customWidth="1"/>
    <col min="1282" max="1282" width="4.85546875" style="108" customWidth="1"/>
    <col min="1283" max="1283" width="0.85546875" style="108" customWidth="1"/>
    <col min="1284" max="1284" width="9" style="108" customWidth="1"/>
    <col min="1285" max="1285" width="10" style="108" customWidth="1"/>
    <col min="1286" max="1286" width="0.85546875" style="108" customWidth="1"/>
    <col min="1287" max="1287" width="12.42578125" style="108" customWidth="1"/>
    <col min="1288" max="1288" width="0.85546875" style="108" customWidth="1"/>
    <col min="1289" max="1289" width="13.7109375" style="108" customWidth="1"/>
    <col min="1290" max="1534" width="11.5703125" style="108"/>
    <col min="1535" max="1535" width="7.85546875" style="108" customWidth="1"/>
    <col min="1536" max="1536" width="24.5703125" style="108" customWidth="1"/>
    <col min="1537" max="1537" width="3.7109375" style="108" customWidth="1"/>
    <col min="1538" max="1538" width="4.85546875" style="108" customWidth="1"/>
    <col min="1539" max="1539" width="0.85546875" style="108" customWidth="1"/>
    <col min="1540" max="1540" width="9" style="108" customWidth="1"/>
    <col min="1541" max="1541" width="10" style="108" customWidth="1"/>
    <col min="1542" max="1542" width="0.85546875" style="108" customWidth="1"/>
    <col min="1543" max="1543" width="12.42578125" style="108" customWidth="1"/>
    <col min="1544" max="1544" width="0.85546875" style="108" customWidth="1"/>
    <col min="1545" max="1545" width="13.7109375" style="108" customWidth="1"/>
    <col min="1546" max="1790" width="11.5703125" style="108"/>
    <col min="1791" max="1791" width="7.85546875" style="108" customWidth="1"/>
    <col min="1792" max="1792" width="24.5703125" style="108" customWidth="1"/>
    <col min="1793" max="1793" width="3.7109375" style="108" customWidth="1"/>
    <col min="1794" max="1794" width="4.85546875" style="108" customWidth="1"/>
    <col min="1795" max="1795" width="0.85546875" style="108" customWidth="1"/>
    <col min="1796" max="1796" width="9" style="108" customWidth="1"/>
    <col min="1797" max="1797" width="10" style="108" customWidth="1"/>
    <col min="1798" max="1798" width="0.85546875" style="108" customWidth="1"/>
    <col min="1799" max="1799" width="12.42578125" style="108" customWidth="1"/>
    <col min="1800" max="1800" width="0.85546875" style="108" customWidth="1"/>
    <col min="1801" max="1801" width="13.7109375" style="108" customWidth="1"/>
    <col min="1802" max="2046" width="11.5703125" style="108"/>
    <col min="2047" max="2047" width="7.85546875" style="108" customWidth="1"/>
    <col min="2048" max="2048" width="24.5703125" style="108" customWidth="1"/>
    <col min="2049" max="2049" width="3.7109375" style="108" customWidth="1"/>
    <col min="2050" max="2050" width="4.85546875" style="108" customWidth="1"/>
    <col min="2051" max="2051" width="0.85546875" style="108" customWidth="1"/>
    <col min="2052" max="2052" width="9" style="108" customWidth="1"/>
    <col min="2053" max="2053" width="10" style="108" customWidth="1"/>
    <col min="2054" max="2054" width="0.85546875" style="108" customWidth="1"/>
    <col min="2055" max="2055" width="12.42578125" style="108" customWidth="1"/>
    <col min="2056" max="2056" width="0.85546875" style="108" customWidth="1"/>
    <col min="2057" max="2057" width="13.7109375" style="108" customWidth="1"/>
    <col min="2058" max="2302" width="11.5703125" style="108"/>
    <col min="2303" max="2303" width="7.85546875" style="108" customWidth="1"/>
    <col min="2304" max="2304" width="24.5703125" style="108" customWidth="1"/>
    <col min="2305" max="2305" width="3.7109375" style="108" customWidth="1"/>
    <col min="2306" max="2306" width="4.85546875" style="108" customWidth="1"/>
    <col min="2307" max="2307" width="0.85546875" style="108" customWidth="1"/>
    <col min="2308" max="2308" width="9" style="108" customWidth="1"/>
    <col min="2309" max="2309" width="10" style="108" customWidth="1"/>
    <col min="2310" max="2310" width="0.85546875" style="108" customWidth="1"/>
    <col min="2311" max="2311" width="12.42578125" style="108" customWidth="1"/>
    <col min="2312" max="2312" width="0.85546875" style="108" customWidth="1"/>
    <col min="2313" max="2313" width="13.7109375" style="108" customWidth="1"/>
    <col min="2314" max="2558" width="11.5703125" style="108"/>
    <col min="2559" max="2559" width="7.85546875" style="108" customWidth="1"/>
    <col min="2560" max="2560" width="24.5703125" style="108" customWidth="1"/>
    <col min="2561" max="2561" width="3.7109375" style="108" customWidth="1"/>
    <col min="2562" max="2562" width="4.85546875" style="108" customWidth="1"/>
    <col min="2563" max="2563" width="0.85546875" style="108" customWidth="1"/>
    <col min="2564" max="2564" width="9" style="108" customWidth="1"/>
    <col min="2565" max="2565" width="10" style="108" customWidth="1"/>
    <col min="2566" max="2566" width="0.85546875" style="108" customWidth="1"/>
    <col min="2567" max="2567" width="12.42578125" style="108" customWidth="1"/>
    <col min="2568" max="2568" width="0.85546875" style="108" customWidth="1"/>
    <col min="2569" max="2569" width="13.7109375" style="108" customWidth="1"/>
    <col min="2570" max="2814" width="11.5703125" style="108"/>
    <col min="2815" max="2815" width="7.85546875" style="108" customWidth="1"/>
    <col min="2816" max="2816" width="24.5703125" style="108" customWidth="1"/>
    <col min="2817" max="2817" width="3.7109375" style="108" customWidth="1"/>
    <col min="2818" max="2818" width="4.85546875" style="108" customWidth="1"/>
    <col min="2819" max="2819" width="0.85546875" style="108" customWidth="1"/>
    <col min="2820" max="2820" width="9" style="108" customWidth="1"/>
    <col min="2821" max="2821" width="10" style="108" customWidth="1"/>
    <col min="2822" max="2822" width="0.85546875" style="108" customWidth="1"/>
    <col min="2823" max="2823" width="12.42578125" style="108" customWidth="1"/>
    <col min="2824" max="2824" width="0.85546875" style="108" customWidth="1"/>
    <col min="2825" max="2825" width="13.7109375" style="108" customWidth="1"/>
    <col min="2826" max="3070" width="11.5703125" style="108"/>
    <col min="3071" max="3071" width="7.85546875" style="108" customWidth="1"/>
    <col min="3072" max="3072" width="24.5703125" style="108" customWidth="1"/>
    <col min="3073" max="3073" width="3.7109375" style="108" customWidth="1"/>
    <col min="3074" max="3074" width="4.85546875" style="108" customWidth="1"/>
    <col min="3075" max="3075" width="0.85546875" style="108" customWidth="1"/>
    <col min="3076" max="3076" width="9" style="108" customWidth="1"/>
    <col min="3077" max="3077" width="10" style="108" customWidth="1"/>
    <col min="3078" max="3078" width="0.85546875" style="108" customWidth="1"/>
    <col min="3079" max="3079" width="12.42578125" style="108" customWidth="1"/>
    <col min="3080" max="3080" width="0.85546875" style="108" customWidth="1"/>
    <col min="3081" max="3081" width="13.7109375" style="108" customWidth="1"/>
    <col min="3082" max="3326" width="11.5703125" style="108"/>
    <col min="3327" max="3327" width="7.85546875" style="108" customWidth="1"/>
    <col min="3328" max="3328" width="24.5703125" style="108" customWidth="1"/>
    <col min="3329" max="3329" width="3.7109375" style="108" customWidth="1"/>
    <col min="3330" max="3330" width="4.85546875" style="108" customWidth="1"/>
    <col min="3331" max="3331" width="0.85546875" style="108" customWidth="1"/>
    <col min="3332" max="3332" width="9" style="108" customWidth="1"/>
    <col min="3333" max="3333" width="10" style="108" customWidth="1"/>
    <col min="3334" max="3334" width="0.85546875" style="108" customWidth="1"/>
    <col min="3335" max="3335" width="12.42578125" style="108" customWidth="1"/>
    <col min="3336" max="3336" width="0.85546875" style="108" customWidth="1"/>
    <col min="3337" max="3337" width="13.7109375" style="108" customWidth="1"/>
    <col min="3338" max="3582" width="11.5703125" style="108"/>
    <col min="3583" max="3583" width="7.85546875" style="108" customWidth="1"/>
    <col min="3584" max="3584" width="24.5703125" style="108" customWidth="1"/>
    <col min="3585" max="3585" width="3.7109375" style="108" customWidth="1"/>
    <col min="3586" max="3586" width="4.85546875" style="108" customWidth="1"/>
    <col min="3587" max="3587" width="0.85546875" style="108" customWidth="1"/>
    <col min="3588" max="3588" width="9" style="108" customWidth="1"/>
    <col min="3589" max="3589" width="10" style="108" customWidth="1"/>
    <col min="3590" max="3590" width="0.85546875" style="108" customWidth="1"/>
    <col min="3591" max="3591" width="12.42578125" style="108" customWidth="1"/>
    <col min="3592" max="3592" width="0.85546875" style="108" customWidth="1"/>
    <col min="3593" max="3593" width="13.7109375" style="108" customWidth="1"/>
    <col min="3594" max="3838" width="11.5703125" style="108"/>
    <col min="3839" max="3839" width="7.85546875" style="108" customWidth="1"/>
    <col min="3840" max="3840" width="24.5703125" style="108" customWidth="1"/>
    <col min="3841" max="3841" width="3.7109375" style="108" customWidth="1"/>
    <col min="3842" max="3842" width="4.85546875" style="108" customWidth="1"/>
    <col min="3843" max="3843" width="0.85546875" style="108" customWidth="1"/>
    <col min="3844" max="3844" width="9" style="108" customWidth="1"/>
    <col min="3845" max="3845" width="10" style="108" customWidth="1"/>
    <col min="3846" max="3846" width="0.85546875" style="108" customWidth="1"/>
    <col min="3847" max="3847" width="12.42578125" style="108" customWidth="1"/>
    <col min="3848" max="3848" width="0.85546875" style="108" customWidth="1"/>
    <col min="3849" max="3849" width="13.7109375" style="108" customWidth="1"/>
    <col min="3850" max="4094" width="11.5703125" style="108"/>
    <col min="4095" max="4095" width="7.85546875" style="108" customWidth="1"/>
    <col min="4096" max="4096" width="24.5703125" style="108" customWidth="1"/>
    <col min="4097" max="4097" width="3.7109375" style="108" customWidth="1"/>
    <col min="4098" max="4098" width="4.85546875" style="108" customWidth="1"/>
    <col min="4099" max="4099" width="0.85546875" style="108" customWidth="1"/>
    <col min="4100" max="4100" width="9" style="108" customWidth="1"/>
    <col min="4101" max="4101" width="10" style="108" customWidth="1"/>
    <col min="4102" max="4102" width="0.85546875" style="108" customWidth="1"/>
    <col min="4103" max="4103" width="12.42578125" style="108" customWidth="1"/>
    <col min="4104" max="4104" width="0.85546875" style="108" customWidth="1"/>
    <col min="4105" max="4105" width="13.7109375" style="108" customWidth="1"/>
    <col min="4106" max="4350" width="11.5703125" style="108"/>
    <col min="4351" max="4351" width="7.85546875" style="108" customWidth="1"/>
    <col min="4352" max="4352" width="24.5703125" style="108" customWidth="1"/>
    <col min="4353" max="4353" width="3.7109375" style="108" customWidth="1"/>
    <col min="4354" max="4354" width="4.85546875" style="108" customWidth="1"/>
    <col min="4355" max="4355" width="0.85546875" style="108" customWidth="1"/>
    <col min="4356" max="4356" width="9" style="108" customWidth="1"/>
    <col min="4357" max="4357" width="10" style="108" customWidth="1"/>
    <col min="4358" max="4358" width="0.85546875" style="108" customWidth="1"/>
    <col min="4359" max="4359" width="12.42578125" style="108" customWidth="1"/>
    <col min="4360" max="4360" width="0.85546875" style="108" customWidth="1"/>
    <col min="4361" max="4361" width="13.7109375" style="108" customWidth="1"/>
    <col min="4362" max="4606" width="11.5703125" style="108"/>
    <col min="4607" max="4607" width="7.85546875" style="108" customWidth="1"/>
    <col min="4608" max="4608" width="24.5703125" style="108" customWidth="1"/>
    <col min="4609" max="4609" width="3.7109375" style="108" customWidth="1"/>
    <col min="4610" max="4610" width="4.85546875" style="108" customWidth="1"/>
    <col min="4611" max="4611" width="0.85546875" style="108" customWidth="1"/>
    <col min="4612" max="4612" width="9" style="108" customWidth="1"/>
    <col min="4613" max="4613" width="10" style="108" customWidth="1"/>
    <col min="4614" max="4614" width="0.85546875" style="108" customWidth="1"/>
    <col min="4615" max="4615" width="12.42578125" style="108" customWidth="1"/>
    <col min="4616" max="4616" width="0.85546875" style="108" customWidth="1"/>
    <col min="4617" max="4617" width="13.7109375" style="108" customWidth="1"/>
    <col min="4618" max="4862" width="11.5703125" style="108"/>
    <col min="4863" max="4863" width="7.85546875" style="108" customWidth="1"/>
    <col min="4864" max="4864" width="24.5703125" style="108" customWidth="1"/>
    <col min="4865" max="4865" width="3.7109375" style="108" customWidth="1"/>
    <col min="4866" max="4866" width="4.85546875" style="108" customWidth="1"/>
    <col min="4867" max="4867" width="0.85546875" style="108" customWidth="1"/>
    <col min="4868" max="4868" width="9" style="108" customWidth="1"/>
    <col min="4869" max="4869" width="10" style="108" customWidth="1"/>
    <col min="4870" max="4870" width="0.85546875" style="108" customWidth="1"/>
    <col min="4871" max="4871" width="12.42578125" style="108" customWidth="1"/>
    <col min="4872" max="4872" width="0.85546875" style="108" customWidth="1"/>
    <col min="4873" max="4873" width="13.7109375" style="108" customWidth="1"/>
    <col min="4874" max="5118" width="11.5703125" style="108"/>
    <col min="5119" max="5119" width="7.85546875" style="108" customWidth="1"/>
    <col min="5120" max="5120" width="24.5703125" style="108" customWidth="1"/>
    <col min="5121" max="5121" width="3.7109375" style="108" customWidth="1"/>
    <col min="5122" max="5122" width="4.85546875" style="108" customWidth="1"/>
    <col min="5123" max="5123" width="0.85546875" style="108" customWidth="1"/>
    <col min="5124" max="5124" width="9" style="108" customWidth="1"/>
    <col min="5125" max="5125" width="10" style="108" customWidth="1"/>
    <col min="5126" max="5126" width="0.85546875" style="108" customWidth="1"/>
    <col min="5127" max="5127" width="12.42578125" style="108" customWidth="1"/>
    <col min="5128" max="5128" width="0.85546875" style="108" customWidth="1"/>
    <col min="5129" max="5129" width="13.7109375" style="108" customWidth="1"/>
    <col min="5130" max="5374" width="11.5703125" style="108"/>
    <col min="5375" max="5375" width="7.85546875" style="108" customWidth="1"/>
    <col min="5376" max="5376" width="24.5703125" style="108" customWidth="1"/>
    <col min="5377" max="5377" width="3.7109375" style="108" customWidth="1"/>
    <col min="5378" max="5378" width="4.85546875" style="108" customWidth="1"/>
    <col min="5379" max="5379" width="0.85546875" style="108" customWidth="1"/>
    <col min="5380" max="5380" width="9" style="108" customWidth="1"/>
    <col min="5381" max="5381" width="10" style="108" customWidth="1"/>
    <col min="5382" max="5382" width="0.85546875" style="108" customWidth="1"/>
    <col min="5383" max="5383" width="12.42578125" style="108" customWidth="1"/>
    <col min="5384" max="5384" width="0.85546875" style="108" customWidth="1"/>
    <col min="5385" max="5385" width="13.7109375" style="108" customWidth="1"/>
    <col min="5386" max="5630" width="11.5703125" style="108"/>
    <col min="5631" max="5631" width="7.85546875" style="108" customWidth="1"/>
    <col min="5632" max="5632" width="24.5703125" style="108" customWidth="1"/>
    <col min="5633" max="5633" width="3.7109375" style="108" customWidth="1"/>
    <col min="5634" max="5634" width="4.85546875" style="108" customWidth="1"/>
    <col min="5635" max="5635" width="0.85546875" style="108" customWidth="1"/>
    <col min="5636" max="5636" width="9" style="108" customWidth="1"/>
    <col min="5637" max="5637" width="10" style="108" customWidth="1"/>
    <col min="5638" max="5638" width="0.85546875" style="108" customWidth="1"/>
    <col min="5639" max="5639" width="12.42578125" style="108" customWidth="1"/>
    <col min="5640" max="5640" width="0.85546875" style="108" customWidth="1"/>
    <col min="5641" max="5641" width="13.7109375" style="108" customWidth="1"/>
    <col min="5642" max="5886" width="11.5703125" style="108"/>
    <col min="5887" max="5887" width="7.85546875" style="108" customWidth="1"/>
    <col min="5888" max="5888" width="24.5703125" style="108" customWidth="1"/>
    <col min="5889" max="5889" width="3.7109375" style="108" customWidth="1"/>
    <col min="5890" max="5890" width="4.85546875" style="108" customWidth="1"/>
    <col min="5891" max="5891" width="0.85546875" style="108" customWidth="1"/>
    <col min="5892" max="5892" width="9" style="108" customWidth="1"/>
    <col min="5893" max="5893" width="10" style="108" customWidth="1"/>
    <col min="5894" max="5894" width="0.85546875" style="108" customWidth="1"/>
    <col min="5895" max="5895" width="12.42578125" style="108" customWidth="1"/>
    <col min="5896" max="5896" width="0.85546875" style="108" customWidth="1"/>
    <col min="5897" max="5897" width="13.7109375" style="108" customWidth="1"/>
    <col min="5898" max="6142" width="11.5703125" style="108"/>
    <col min="6143" max="6143" width="7.85546875" style="108" customWidth="1"/>
    <col min="6144" max="6144" width="24.5703125" style="108" customWidth="1"/>
    <col min="6145" max="6145" width="3.7109375" style="108" customWidth="1"/>
    <col min="6146" max="6146" width="4.85546875" style="108" customWidth="1"/>
    <col min="6147" max="6147" width="0.85546875" style="108" customWidth="1"/>
    <col min="6148" max="6148" width="9" style="108" customWidth="1"/>
    <col min="6149" max="6149" width="10" style="108" customWidth="1"/>
    <col min="6150" max="6150" width="0.85546875" style="108" customWidth="1"/>
    <col min="6151" max="6151" width="12.42578125" style="108" customWidth="1"/>
    <col min="6152" max="6152" width="0.85546875" style="108" customWidth="1"/>
    <col min="6153" max="6153" width="13.7109375" style="108" customWidth="1"/>
    <col min="6154" max="6398" width="11.5703125" style="108"/>
    <col min="6399" max="6399" width="7.85546875" style="108" customWidth="1"/>
    <col min="6400" max="6400" width="24.5703125" style="108" customWidth="1"/>
    <col min="6401" max="6401" width="3.7109375" style="108" customWidth="1"/>
    <col min="6402" max="6402" width="4.85546875" style="108" customWidth="1"/>
    <col min="6403" max="6403" width="0.85546875" style="108" customWidth="1"/>
    <col min="6404" max="6404" width="9" style="108" customWidth="1"/>
    <col min="6405" max="6405" width="10" style="108" customWidth="1"/>
    <col min="6406" max="6406" width="0.85546875" style="108" customWidth="1"/>
    <col min="6407" max="6407" width="12.42578125" style="108" customWidth="1"/>
    <col min="6408" max="6408" width="0.85546875" style="108" customWidth="1"/>
    <col min="6409" max="6409" width="13.7109375" style="108" customWidth="1"/>
    <col min="6410" max="6654" width="11.5703125" style="108"/>
    <col min="6655" max="6655" width="7.85546875" style="108" customWidth="1"/>
    <col min="6656" max="6656" width="24.5703125" style="108" customWidth="1"/>
    <col min="6657" max="6657" width="3.7109375" style="108" customWidth="1"/>
    <col min="6658" max="6658" width="4.85546875" style="108" customWidth="1"/>
    <col min="6659" max="6659" width="0.85546875" style="108" customWidth="1"/>
    <col min="6660" max="6660" width="9" style="108" customWidth="1"/>
    <col min="6661" max="6661" width="10" style="108" customWidth="1"/>
    <col min="6662" max="6662" width="0.85546875" style="108" customWidth="1"/>
    <col min="6663" max="6663" width="12.42578125" style="108" customWidth="1"/>
    <col min="6664" max="6664" width="0.85546875" style="108" customWidth="1"/>
    <col min="6665" max="6665" width="13.7109375" style="108" customWidth="1"/>
    <col min="6666" max="6910" width="11.5703125" style="108"/>
    <col min="6911" max="6911" width="7.85546875" style="108" customWidth="1"/>
    <col min="6912" max="6912" width="24.5703125" style="108" customWidth="1"/>
    <col min="6913" max="6913" width="3.7109375" style="108" customWidth="1"/>
    <col min="6914" max="6914" width="4.85546875" style="108" customWidth="1"/>
    <col min="6915" max="6915" width="0.85546875" style="108" customWidth="1"/>
    <col min="6916" max="6916" width="9" style="108" customWidth="1"/>
    <col min="6917" max="6917" width="10" style="108" customWidth="1"/>
    <col min="6918" max="6918" width="0.85546875" style="108" customWidth="1"/>
    <col min="6919" max="6919" width="12.42578125" style="108" customWidth="1"/>
    <col min="6920" max="6920" width="0.85546875" style="108" customWidth="1"/>
    <col min="6921" max="6921" width="13.7109375" style="108" customWidth="1"/>
    <col min="6922" max="7166" width="11.5703125" style="108"/>
    <col min="7167" max="7167" width="7.85546875" style="108" customWidth="1"/>
    <col min="7168" max="7168" width="24.5703125" style="108" customWidth="1"/>
    <col min="7169" max="7169" width="3.7109375" style="108" customWidth="1"/>
    <col min="7170" max="7170" width="4.85546875" style="108" customWidth="1"/>
    <col min="7171" max="7171" width="0.85546875" style="108" customWidth="1"/>
    <col min="7172" max="7172" width="9" style="108" customWidth="1"/>
    <col min="7173" max="7173" width="10" style="108" customWidth="1"/>
    <col min="7174" max="7174" width="0.85546875" style="108" customWidth="1"/>
    <col min="7175" max="7175" width="12.42578125" style="108" customWidth="1"/>
    <col min="7176" max="7176" width="0.85546875" style="108" customWidth="1"/>
    <col min="7177" max="7177" width="13.7109375" style="108" customWidth="1"/>
    <col min="7178" max="7422" width="11.5703125" style="108"/>
    <col min="7423" max="7423" width="7.85546875" style="108" customWidth="1"/>
    <col min="7424" max="7424" width="24.5703125" style="108" customWidth="1"/>
    <col min="7425" max="7425" width="3.7109375" style="108" customWidth="1"/>
    <col min="7426" max="7426" width="4.85546875" style="108" customWidth="1"/>
    <col min="7427" max="7427" width="0.85546875" style="108" customWidth="1"/>
    <col min="7428" max="7428" width="9" style="108" customWidth="1"/>
    <col min="7429" max="7429" width="10" style="108" customWidth="1"/>
    <col min="7430" max="7430" width="0.85546875" style="108" customWidth="1"/>
    <col min="7431" max="7431" width="12.42578125" style="108" customWidth="1"/>
    <col min="7432" max="7432" width="0.85546875" style="108" customWidth="1"/>
    <col min="7433" max="7433" width="13.7109375" style="108" customWidth="1"/>
    <col min="7434" max="7678" width="11.5703125" style="108"/>
    <col min="7679" max="7679" width="7.85546875" style="108" customWidth="1"/>
    <col min="7680" max="7680" width="24.5703125" style="108" customWidth="1"/>
    <col min="7681" max="7681" width="3.7109375" style="108" customWidth="1"/>
    <col min="7682" max="7682" width="4.85546875" style="108" customWidth="1"/>
    <col min="7683" max="7683" width="0.85546875" style="108" customWidth="1"/>
    <col min="7684" max="7684" width="9" style="108" customWidth="1"/>
    <col min="7685" max="7685" width="10" style="108" customWidth="1"/>
    <col min="7686" max="7686" width="0.85546875" style="108" customWidth="1"/>
    <col min="7687" max="7687" width="12.42578125" style="108" customWidth="1"/>
    <col min="7688" max="7688" width="0.85546875" style="108" customWidth="1"/>
    <col min="7689" max="7689" width="13.7109375" style="108" customWidth="1"/>
    <col min="7690" max="7934" width="11.5703125" style="108"/>
    <col min="7935" max="7935" width="7.85546875" style="108" customWidth="1"/>
    <col min="7936" max="7936" width="24.5703125" style="108" customWidth="1"/>
    <col min="7937" max="7937" width="3.7109375" style="108" customWidth="1"/>
    <col min="7938" max="7938" width="4.85546875" style="108" customWidth="1"/>
    <col min="7939" max="7939" width="0.85546875" style="108" customWidth="1"/>
    <col min="7940" max="7940" width="9" style="108" customWidth="1"/>
    <col min="7941" max="7941" width="10" style="108" customWidth="1"/>
    <col min="7942" max="7942" width="0.85546875" style="108" customWidth="1"/>
    <col min="7943" max="7943" width="12.42578125" style="108" customWidth="1"/>
    <col min="7944" max="7944" width="0.85546875" style="108" customWidth="1"/>
    <col min="7945" max="7945" width="13.7109375" style="108" customWidth="1"/>
    <col min="7946" max="8190" width="11.5703125" style="108"/>
    <col min="8191" max="8191" width="7.85546875" style="108" customWidth="1"/>
    <col min="8192" max="8192" width="24.5703125" style="108" customWidth="1"/>
    <col min="8193" max="8193" width="3.7109375" style="108" customWidth="1"/>
    <col min="8194" max="8194" width="4.85546875" style="108" customWidth="1"/>
    <col min="8195" max="8195" width="0.85546875" style="108" customWidth="1"/>
    <col min="8196" max="8196" width="9" style="108" customWidth="1"/>
    <col min="8197" max="8197" width="10" style="108" customWidth="1"/>
    <col min="8198" max="8198" width="0.85546875" style="108" customWidth="1"/>
    <col min="8199" max="8199" width="12.42578125" style="108" customWidth="1"/>
    <col min="8200" max="8200" width="0.85546875" style="108" customWidth="1"/>
    <col min="8201" max="8201" width="13.7109375" style="108" customWidth="1"/>
    <col min="8202" max="8446" width="11.5703125" style="108"/>
    <col min="8447" max="8447" width="7.85546875" style="108" customWidth="1"/>
    <col min="8448" max="8448" width="24.5703125" style="108" customWidth="1"/>
    <col min="8449" max="8449" width="3.7109375" style="108" customWidth="1"/>
    <col min="8450" max="8450" width="4.85546875" style="108" customWidth="1"/>
    <col min="8451" max="8451" width="0.85546875" style="108" customWidth="1"/>
    <col min="8452" max="8452" width="9" style="108" customWidth="1"/>
    <col min="8453" max="8453" width="10" style="108" customWidth="1"/>
    <col min="8454" max="8454" width="0.85546875" style="108" customWidth="1"/>
    <col min="8455" max="8455" width="12.42578125" style="108" customWidth="1"/>
    <col min="8456" max="8456" width="0.85546875" style="108" customWidth="1"/>
    <col min="8457" max="8457" width="13.7109375" style="108" customWidth="1"/>
    <col min="8458" max="8702" width="11.5703125" style="108"/>
    <col min="8703" max="8703" width="7.85546875" style="108" customWidth="1"/>
    <col min="8704" max="8704" width="24.5703125" style="108" customWidth="1"/>
    <col min="8705" max="8705" width="3.7109375" style="108" customWidth="1"/>
    <col min="8706" max="8706" width="4.85546875" style="108" customWidth="1"/>
    <col min="8707" max="8707" width="0.85546875" style="108" customWidth="1"/>
    <col min="8708" max="8708" width="9" style="108" customWidth="1"/>
    <col min="8709" max="8709" width="10" style="108" customWidth="1"/>
    <col min="8710" max="8710" width="0.85546875" style="108" customWidth="1"/>
    <col min="8711" max="8711" width="12.42578125" style="108" customWidth="1"/>
    <col min="8712" max="8712" width="0.85546875" style="108" customWidth="1"/>
    <col min="8713" max="8713" width="13.7109375" style="108" customWidth="1"/>
    <col min="8714" max="8958" width="11.5703125" style="108"/>
    <col min="8959" max="8959" width="7.85546875" style="108" customWidth="1"/>
    <col min="8960" max="8960" width="24.5703125" style="108" customWidth="1"/>
    <col min="8961" max="8961" width="3.7109375" style="108" customWidth="1"/>
    <col min="8962" max="8962" width="4.85546875" style="108" customWidth="1"/>
    <col min="8963" max="8963" width="0.85546875" style="108" customWidth="1"/>
    <col min="8964" max="8964" width="9" style="108" customWidth="1"/>
    <col min="8965" max="8965" width="10" style="108" customWidth="1"/>
    <col min="8966" max="8966" width="0.85546875" style="108" customWidth="1"/>
    <col min="8967" max="8967" width="12.42578125" style="108" customWidth="1"/>
    <col min="8968" max="8968" width="0.85546875" style="108" customWidth="1"/>
    <col min="8969" max="8969" width="13.7109375" style="108" customWidth="1"/>
    <col min="8970" max="9214" width="11.5703125" style="108"/>
    <col min="9215" max="9215" width="7.85546875" style="108" customWidth="1"/>
    <col min="9216" max="9216" width="24.5703125" style="108" customWidth="1"/>
    <col min="9217" max="9217" width="3.7109375" style="108" customWidth="1"/>
    <col min="9218" max="9218" width="4.85546875" style="108" customWidth="1"/>
    <col min="9219" max="9219" width="0.85546875" style="108" customWidth="1"/>
    <col min="9220" max="9220" width="9" style="108" customWidth="1"/>
    <col min="9221" max="9221" width="10" style="108" customWidth="1"/>
    <col min="9222" max="9222" width="0.85546875" style="108" customWidth="1"/>
    <col min="9223" max="9223" width="12.42578125" style="108" customWidth="1"/>
    <col min="9224" max="9224" width="0.85546875" style="108" customWidth="1"/>
    <col min="9225" max="9225" width="13.7109375" style="108" customWidth="1"/>
    <col min="9226" max="9470" width="11.5703125" style="108"/>
    <col min="9471" max="9471" width="7.85546875" style="108" customWidth="1"/>
    <col min="9472" max="9472" width="24.5703125" style="108" customWidth="1"/>
    <col min="9473" max="9473" width="3.7109375" style="108" customWidth="1"/>
    <col min="9474" max="9474" width="4.85546875" style="108" customWidth="1"/>
    <col min="9475" max="9475" width="0.85546875" style="108" customWidth="1"/>
    <col min="9476" max="9476" width="9" style="108" customWidth="1"/>
    <col min="9477" max="9477" width="10" style="108" customWidth="1"/>
    <col min="9478" max="9478" width="0.85546875" style="108" customWidth="1"/>
    <col min="9479" max="9479" width="12.42578125" style="108" customWidth="1"/>
    <col min="9480" max="9480" width="0.85546875" style="108" customWidth="1"/>
    <col min="9481" max="9481" width="13.7109375" style="108" customWidth="1"/>
    <col min="9482" max="9726" width="11.5703125" style="108"/>
    <col min="9727" max="9727" width="7.85546875" style="108" customWidth="1"/>
    <col min="9728" max="9728" width="24.5703125" style="108" customWidth="1"/>
    <col min="9729" max="9729" width="3.7109375" style="108" customWidth="1"/>
    <col min="9730" max="9730" width="4.85546875" style="108" customWidth="1"/>
    <col min="9731" max="9731" width="0.85546875" style="108" customWidth="1"/>
    <col min="9732" max="9732" width="9" style="108" customWidth="1"/>
    <col min="9733" max="9733" width="10" style="108" customWidth="1"/>
    <col min="9734" max="9734" width="0.85546875" style="108" customWidth="1"/>
    <col min="9735" max="9735" width="12.42578125" style="108" customWidth="1"/>
    <col min="9736" max="9736" width="0.85546875" style="108" customWidth="1"/>
    <col min="9737" max="9737" width="13.7109375" style="108" customWidth="1"/>
    <col min="9738" max="9982" width="11.5703125" style="108"/>
    <col min="9983" max="9983" width="7.85546875" style="108" customWidth="1"/>
    <col min="9984" max="9984" width="24.5703125" style="108" customWidth="1"/>
    <col min="9985" max="9985" width="3.7109375" style="108" customWidth="1"/>
    <col min="9986" max="9986" width="4.85546875" style="108" customWidth="1"/>
    <col min="9987" max="9987" width="0.85546875" style="108" customWidth="1"/>
    <col min="9988" max="9988" width="9" style="108" customWidth="1"/>
    <col min="9989" max="9989" width="10" style="108" customWidth="1"/>
    <col min="9990" max="9990" width="0.85546875" style="108" customWidth="1"/>
    <col min="9991" max="9991" width="12.42578125" style="108" customWidth="1"/>
    <col min="9992" max="9992" width="0.85546875" style="108" customWidth="1"/>
    <col min="9993" max="9993" width="13.7109375" style="108" customWidth="1"/>
    <col min="9994" max="10238" width="11.5703125" style="108"/>
    <col min="10239" max="10239" width="7.85546875" style="108" customWidth="1"/>
    <col min="10240" max="10240" width="24.5703125" style="108" customWidth="1"/>
    <col min="10241" max="10241" width="3.7109375" style="108" customWidth="1"/>
    <col min="10242" max="10242" width="4.85546875" style="108" customWidth="1"/>
    <col min="10243" max="10243" width="0.85546875" style="108" customWidth="1"/>
    <col min="10244" max="10244" width="9" style="108" customWidth="1"/>
    <col min="10245" max="10245" width="10" style="108" customWidth="1"/>
    <col min="10246" max="10246" width="0.85546875" style="108" customWidth="1"/>
    <col min="10247" max="10247" width="12.42578125" style="108" customWidth="1"/>
    <col min="10248" max="10248" width="0.85546875" style="108" customWidth="1"/>
    <col min="10249" max="10249" width="13.7109375" style="108" customWidth="1"/>
    <col min="10250" max="10494" width="11.5703125" style="108"/>
    <col min="10495" max="10495" width="7.85546875" style="108" customWidth="1"/>
    <col min="10496" max="10496" width="24.5703125" style="108" customWidth="1"/>
    <col min="10497" max="10497" width="3.7109375" style="108" customWidth="1"/>
    <col min="10498" max="10498" width="4.85546875" style="108" customWidth="1"/>
    <col min="10499" max="10499" width="0.85546875" style="108" customWidth="1"/>
    <col min="10500" max="10500" width="9" style="108" customWidth="1"/>
    <col min="10501" max="10501" width="10" style="108" customWidth="1"/>
    <col min="10502" max="10502" width="0.85546875" style="108" customWidth="1"/>
    <col min="10503" max="10503" width="12.42578125" style="108" customWidth="1"/>
    <col min="10504" max="10504" width="0.85546875" style="108" customWidth="1"/>
    <col min="10505" max="10505" width="13.7109375" style="108" customWidth="1"/>
    <col min="10506" max="10750" width="11.5703125" style="108"/>
    <col min="10751" max="10751" width="7.85546875" style="108" customWidth="1"/>
    <col min="10752" max="10752" width="24.5703125" style="108" customWidth="1"/>
    <col min="10753" max="10753" width="3.7109375" style="108" customWidth="1"/>
    <col min="10754" max="10754" width="4.85546875" style="108" customWidth="1"/>
    <col min="10755" max="10755" width="0.85546875" style="108" customWidth="1"/>
    <col min="10756" max="10756" width="9" style="108" customWidth="1"/>
    <col min="10757" max="10757" width="10" style="108" customWidth="1"/>
    <col min="10758" max="10758" width="0.85546875" style="108" customWidth="1"/>
    <col min="10759" max="10759" width="12.42578125" style="108" customWidth="1"/>
    <col min="10760" max="10760" width="0.85546875" style="108" customWidth="1"/>
    <col min="10761" max="10761" width="13.7109375" style="108" customWidth="1"/>
    <col min="10762" max="11006" width="11.5703125" style="108"/>
    <col min="11007" max="11007" width="7.85546875" style="108" customWidth="1"/>
    <col min="11008" max="11008" width="24.5703125" style="108" customWidth="1"/>
    <col min="11009" max="11009" width="3.7109375" style="108" customWidth="1"/>
    <col min="11010" max="11010" width="4.85546875" style="108" customWidth="1"/>
    <col min="11011" max="11011" width="0.85546875" style="108" customWidth="1"/>
    <col min="11012" max="11012" width="9" style="108" customWidth="1"/>
    <col min="11013" max="11013" width="10" style="108" customWidth="1"/>
    <col min="11014" max="11014" width="0.85546875" style="108" customWidth="1"/>
    <col min="11015" max="11015" width="12.42578125" style="108" customWidth="1"/>
    <col min="11016" max="11016" width="0.85546875" style="108" customWidth="1"/>
    <col min="11017" max="11017" width="13.7109375" style="108" customWidth="1"/>
    <col min="11018" max="11262" width="11.5703125" style="108"/>
    <col min="11263" max="11263" width="7.85546875" style="108" customWidth="1"/>
    <col min="11264" max="11264" width="24.5703125" style="108" customWidth="1"/>
    <col min="11265" max="11265" width="3.7109375" style="108" customWidth="1"/>
    <col min="11266" max="11266" width="4.85546875" style="108" customWidth="1"/>
    <col min="11267" max="11267" width="0.85546875" style="108" customWidth="1"/>
    <col min="11268" max="11268" width="9" style="108" customWidth="1"/>
    <col min="11269" max="11269" width="10" style="108" customWidth="1"/>
    <col min="11270" max="11270" width="0.85546875" style="108" customWidth="1"/>
    <col min="11271" max="11271" width="12.42578125" style="108" customWidth="1"/>
    <col min="11272" max="11272" width="0.85546875" style="108" customWidth="1"/>
    <col min="11273" max="11273" width="13.7109375" style="108" customWidth="1"/>
    <col min="11274" max="11518" width="11.5703125" style="108"/>
    <col min="11519" max="11519" width="7.85546875" style="108" customWidth="1"/>
    <col min="11520" max="11520" width="24.5703125" style="108" customWidth="1"/>
    <col min="11521" max="11521" width="3.7109375" style="108" customWidth="1"/>
    <col min="11522" max="11522" width="4.85546875" style="108" customWidth="1"/>
    <col min="11523" max="11523" width="0.85546875" style="108" customWidth="1"/>
    <col min="11524" max="11524" width="9" style="108" customWidth="1"/>
    <col min="11525" max="11525" width="10" style="108" customWidth="1"/>
    <col min="11526" max="11526" width="0.85546875" style="108" customWidth="1"/>
    <col min="11527" max="11527" width="12.42578125" style="108" customWidth="1"/>
    <col min="11528" max="11528" width="0.85546875" style="108" customWidth="1"/>
    <col min="11529" max="11529" width="13.7109375" style="108" customWidth="1"/>
    <col min="11530" max="11774" width="11.5703125" style="108"/>
    <col min="11775" max="11775" width="7.85546875" style="108" customWidth="1"/>
    <col min="11776" max="11776" width="24.5703125" style="108" customWidth="1"/>
    <col min="11777" max="11777" width="3.7109375" style="108" customWidth="1"/>
    <col min="11778" max="11778" width="4.85546875" style="108" customWidth="1"/>
    <col min="11779" max="11779" width="0.85546875" style="108" customWidth="1"/>
    <col min="11780" max="11780" width="9" style="108" customWidth="1"/>
    <col min="11781" max="11781" width="10" style="108" customWidth="1"/>
    <col min="11782" max="11782" width="0.85546875" style="108" customWidth="1"/>
    <col min="11783" max="11783" width="12.42578125" style="108" customWidth="1"/>
    <col min="11784" max="11784" width="0.85546875" style="108" customWidth="1"/>
    <col min="11785" max="11785" width="13.7109375" style="108" customWidth="1"/>
    <col min="11786" max="12030" width="11.5703125" style="108"/>
    <col min="12031" max="12031" width="7.85546875" style="108" customWidth="1"/>
    <col min="12032" max="12032" width="24.5703125" style="108" customWidth="1"/>
    <col min="12033" max="12033" width="3.7109375" style="108" customWidth="1"/>
    <col min="12034" max="12034" width="4.85546875" style="108" customWidth="1"/>
    <col min="12035" max="12035" width="0.85546875" style="108" customWidth="1"/>
    <col min="12036" max="12036" width="9" style="108" customWidth="1"/>
    <col min="12037" max="12037" width="10" style="108" customWidth="1"/>
    <col min="12038" max="12038" width="0.85546875" style="108" customWidth="1"/>
    <col min="12039" max="12039" width="12.42578125" style="108" customWidth="1"/>
    <col min="12040" max="12040" width="0.85546875" style="108" customWidth="1"/>
    <col min="12041" max="12041" width="13.7109375" style="108" customWidth="1"/>
    <col min="12042" max="12286" width="11.5703125" style="108"/>
    <col min="12287" max="12287" width="7.85546875" style="108" customWidth="1"/>
    <col min="12288" max="12288" width="24.5703125" style="108" customWidth="1"/>
    <col min="12289" max="12289" width="3.7109375" style="108" customWidth="1"/>
    <col min="12290" max="12290" width="4.85546875" style="108" customWidth="1"/>
    <col min="12291" max="12291" width="0.85546875" style="108" customWidth="1"/>
    <col min="12292" max="12292" width="9" style="108" customWidth="1"/>
    <col min="12293" max="12293" width="10" style="108" customWidth="1"/>
    <col min="12294" max="12294" width="0.85546875" style="108" customWidth="1"/>
    <col min="12295" max="12295" width="12.42578125" style="108" customWidth="1"/>
    <col min="12296" max="12296" width="0.85546875" style="108" customWidth="1"/>
    <col min="12297" max="12297" width="13.7109375" style="108" customWidth="1"/>
    <col min="12298" max="12542" width="11.5703125" style="108"/>
    <col min="12543" max="12543" width="7.85546875" style="108" customWidth="1"/>
    <col min="12544" max="12544" width="24.5703125" style="108" customWidth="1"/>
    <col min="12545" max="12545" width="3.7109375" style="108" customWidth="1"/>
    <col min="12546" max="12546" width="4.85546875" style="108" customWidth="1"/>
    <col min="12547" max="12547" width="0.85546875" style="108" customWidth="1"/>
    <col min="12548" max="12548" width="9" style="108" customWidth="1"/>
    <col min="12549" max="12549" width="10" style="108" customWidth="1"/>
    <col min="12550" max="12550" width="0.85546875" style="108" customWidth="1"/>
    <col min="12551" max="12551" width="12.42578125" style="108" customWidth="1"/>
    <col min="12552" max="12552" width="0.85546875" style="108" customWidth="1"/>
    <col min="12553" max="12553" width="13.7109375" style="108" customWidth="1"/>
    <col min="12554" max="12798" width="11.5703125" style="108"/>
    <col min="12799" max="12799" width="7.85546875" style="108" customWidth="1"/>
    <col min="12800" max="12800" width="24.5703125" style="108" customWidth="1"/>
    <col min="12801" max="12801" width="3.7109375" style="108" customWidth="1"/>
    <col min="12802" max="12802" width="4.85546875" style="108" customWidth="1"/>
    <col min="12803" max="12803" width="0.85546875" style="108" customWidth="1"/>
    <col min="12804" max="12804" width="9" style="108" customWidth="1"/>
    <col min="12805" max="12805" width="10" style="108" customWidth="1"/>
    <col min="12806" max="12806" width="0.85546875" style="108" customWidth="1"/>
    <col min="12807" max="12807" width="12.42578125" style="108" customWidth="1"/>
    <col min="12808" max="12808" width="0.85546875" style="108" customWidth="1"/>
    <col min="12809" max="12809" width="13.7109375" style="108" customWidth="1"/>
    <col min="12810" max="13054" width="11.5703125" style="108"/>
    <col min="13055" max="13055" width="7.85546875" style="108" customWidth="1"/>
    <col min="13056" max="13056" width="24.5703125" style="108" customWidth="1"/>
    <col min="13057" max="13057" width="3.7109375" style="108" customWidth="1"/>
    <col min="13058" max="13058" width="4.85546875" style="108" customWidth="1"/>
    <col min="13059" max="13059" width="0.85546875" style="108" customWidth="1"/>
    <col min="13060" max="13060" width="9" style="108" customWidth="1"/>
    <col min="13061" max="13061" width="10" style="108" customWidth="1"/>
    <col min="13062" max="13062" width="0.85546875" style="108" customWidth="1"/>
    <col min="13063" max="13063" width="12.42578125" style="108" customWidth="1"/>
    <col min="13064" max="13064" width="0.85546875" style="108" customWidth="1"/>
    <col min="13065" max="13065" width="13.7109375" style="108" customWidth="1"/>
    <col min="13066" max="13310" width="11.5703125" style="108"/>
    <col min="13311" max="13311" width="7.85546875" style="108" customWidth="1"/>
    <col min="13312" max="13312" width="24.5703125" style="108" customWidth="1"/>
    <col min="13313" max="13313" width="3.7109375" style="108" customWidth="1"/>
    <col min="13314" max="13314" width="4.85546875" style="108" customWidth="1"/>
    <col min="13315" max="13315" width="0.85546875" style="108" customWidth="1"/>
    <col min="13316" max="13316" width="9" style="108" customWidth="1"/>
    <col min="13317" max="13317" width="10" style="108" customWidth="1"/>
    <col min="13318" max="13318" width="0.85546875" style="108" customWidth="1"/>
    <col min="13319" max="13319" width="12.42578125" style="108" customWidth="1"/>
    <col min="13320" max="13320" width="0.85546875" style="108" customWidth="1"/>
    <col min="13321" max="13321" width="13.7109375" style="108" customWidth="1"/>
    <col min="13322" max="13566" width="11.5703125" style="108"/>
    <col min="13567" max="13567" width="7.85546875" style="108" customWidth="1"/>
    <col min="13568" max="13568" width="24.5703125" style="108" customWidth="1"/>
    <col min="13569" max="13569" width="3.7109375" style="108" customWidth="1"/>
    <col min="13570" max="13570" width="4.85546875" style="108" customWidth="1"/>
    <col min="13571" max="13571" width="0.85546875" style="108" customWidth="1"/>
    <col min="13572" max="13572" width="9" style="108" customWidth="1"/>
    <col min="13573" max="13573" width="10" style="108" customWidth="1"/>
    <col min="13574" max="13574" width="0.85546875" style="108" customWidth="1"/>
    <col min="13575" max="13575" width="12.42578125" style="108" customWidth="1"/>
    <col min="13576" max="13576" width="0.85546875" style="108" customWidth="1"/>
    <col min="13577" max="13577" width="13.7109375" style="108" customWidth="1"/>
    <col min="13578" max="13822" width="11.5703125" style="108"/>
    <col min="13823" max="13823" width="7.85546875" style="108" customWidth="1"/>
    <col min="13824" max="13824" width="24.5703125" style="108" customWidth="1"/>
    <col min="13825" max="13825" width="3.7109375" style="108" customWidth="1"/>
    <col min="13826" max="13826" width="4.85546875" style="108" customWidth="1"/>
    <col min="13827" max="13827" width="0.85546875" style="108" customWidth="1"/>
    <col min="13828" max="13828" width="9" style="108" customWidth="1"/>
    <col min="13829" max="13829" width="10" style="108" customWidth="1"/>
    <col min="13830" max="13830" width="0.85546875" style="108" customWidth="1"/>
    <col min="13831" max="13831" width="12.42578125" style="108" customWidth="1"/>
    <col min="13832" max="13832" width="0.85546875" style="108" customWidth="1"/>
    <col min="13833" max="13833" width="13.7109375" style="108" customWidth="1"/>
    <col min="13834" max="14078" width="11.5703125" style="108"/>
    <col min="14079" max="14079" width="7.85546875" style="108" customWidth="1"/>
    <col min="14080" max="14080" width="24.5703125" style="108" customWidth="1"/>
    <col min="14081" max="14081" width="3.7109375" style="108" customWidth="1"/>
    <col min="14082" max="14082" width="4.85546875" style="108" customWidth="1"/>
    <col min="14083" max="14083" width="0.85546875" style="108" customWidth="1"/>
    <col min="14084" max="14084" width="9" style="108" customWidth="1"/>
    <col min="14085" max="14085" width="10" style="108" customWidth="1"/>
    <col min="14086" max="14086" width="0.85546875" style="108" customWidth="1"/>
    <col min="14087" max="14087" width="12.42578125" style="108" customWidth="1"/>
    <col min="14088" max="14088" width="0.85546875" style="108" customWidth="1"/>
    <col min="14089" max="14089" width="13.7109375" style="108" customWidth="1"/>
    <col min="14090" max="14334" width="11.5703125" style="108"/>
    <col min="14335" max="14335" width="7.85546875" style="108" customWidth="1"/>
    <col min="14336" max="14336" width="24.5703125" style="108" customWidth="1"/>
    <col min="14337" max="14337" width="3.7109375" style="108" customWidth="1"/>
    <col min="14338" max="14338" width="4.85546875" style="108" customWidth="1"/>
    <col min="14339" max="14339" width="0.85546875" style="108" customWidth="1"/>
    <col min="14340" max="14340" width="9" style="108" customWidth="1"/>
    <col min="14341" max="14341" width="10" style="108" customWidth="1"/>
    <col min="14342" max="14342" width="0.85546875" style="108" customWidth="1"/>
    <col min="14343" max="14343" width="12.42578125" style="108" customWidth="1"/>
    <col min="14344" max="14344" width="0.85546875" style="108" customWidth="1"/>
    <col min="14345" max="14345" width="13.7109375" style="108" customWidth="1"/>
    <col min="14346" max="14590" width="11.5703125" style="108"/>
    <col min="14591" max="14591" width="7.85546875" style="108" customWidth="1"/>
    <col min="14592" max="14592" width="24.5703125" style="108" customWidth="1"/>
    <col min="14593" max="14593" width="3.7109375" style="108" customWidth="1"/>
    <col min="14594" max="14594" width="4.85546875" style="108" customWidth="1"/>
    <col min="14595" max="14595" width="0.85546875" style="108" customWidth="1"/>
    <col min="14596" max="14596" width="9" style="108" customWidth="1"/>
    <col min="14597" max="14597" width="10" style="108" customWidth="1"/>
    <col min="14598" max="14598" width="0.85546875" style="108" customWidth="1"/>
    <col min="14599" max="14599" width="12.42578125" style="108" customWidth="1"/>
    <col min="14600" max="14600" width="0.85546875" style="108" customWidth="1"/>
    <col min="14601" max="14601" width="13.7109375" style="108" customWidth="1"/>
    <col min="14602" max="14846" width="11.5703125" style="108"/>
    <col min="14847" max="14847" width="7.85546875" style="108" customWidth="1"/>
    <col min="14848" max="14848" width="24.5703125" style="108" customWidth="1"/>
    <col min="14849" max="14849" width="3.7109375" style="108" customWidth="1"/>
    <col min="14850" max="14850" width="4.85546875" style="108" customWidth="1"/>
    <col min="14851" max="14851" width="0.85546875" style="108" customWidth="1"/>
    <col min="14852" max="14852" width="9" style="108" customWidth="1"/>
    <col min="14853" max="14853" width="10" style="108" customWidth="1"/>
    <col min="14854" max="14854" width="0.85546875" style="108" customWidth="1"/>
    <col min="14855" max="14855" width="12.42578125" style="108" customWidth="1"/>
    <col min="14856" max="14856" width="0.85546875" style="108" customWidth="1"/>
    <col min="14857" max="14857" width="13.7109375" style="108" customWidth="1"/>
    <col min="14858" max="15102" width="11.5703125" style="108"/>
    <col min="15103" max="15103" width="7.85546875" style="108" customWidth="1"/>
    <col min="15104" max="15104" width="24.5703125" style="108" customWidth="1"/>
    <col min="15105" max="15105" width="3.7109375" style="108" customWidth="1"/>
    <col min="15106" max="15106" width="4.85546875" style="108" customWidth="1"/>
    <col min="15107" max="15107" width="0.85546875" style="108" customWidth="1"/>
    <col min="15108" max="15108" width="9" style="108" customWidth="1"/>
    <col min="15109" max="15109" width="10" style="108" customWidth="1"/>
    <col min="15110" max="15110" width="0.85546875" style="108" customWidth="1"/>
    <col min="15111" max="15111" width="12.42578125" style="108" customWidth="1"/>
    <col min="15112" max="15112" width="0.85546875" style="108" customWidth="1"/>
    <col min="15113" max="15113" width="13.7109375" style="108" customWidth="1"/>
    <col min="15114" max="15358" width="11.5703125" style="108"/>
    <col min="15359" max="15359" width="7.85546875" style="108" customWidth="1"/>
    <col min="15360" max="15360" width="24.5703125" style="108" customWidth="1"/>
    <col min="15361" max="15361" width="3.7109375" style="108" customWidth="1"/>
    <col min="15362" max="15362" width="4.85546875" style="108" customWidth="1"/>
    <col min="15363" max="15363" width="0.85546875" style="108" customWidth="1"/>
    <col min="15364" max="15364" width="9" style="108" customWidth="1"/>
    <col min="15365" max="15365" width="10" style="108" customWidth="1"/>
    <col min="15366" max="15366" width="0.85546875" style="108" customWidth="1"/>
    <col min="15367" max="15367" width="12.42578125" style="108" customWidth="1"/>
    <col min="15368" max="15368" width="0.85546875" style="108" customWidth="1"/>
    <col min="15369" max="15369" width="13.7109375" style="108" customWidth="1"/>
    <col min="15370" max="15614" width="11.5703125" style="108"/>
    <col min="15615" max="15615" width="7.85546875" style="108" customWidth="1"/>
    <col min="15616" max="15616" width="24.5703125" style="108" customWidth="1"/>
    <col min="15617" max="15617" width="3.7109375" style="108" customWidth="1"/>
    <col min="15618" max="15618" width="4.85546875" style="108" customWidth="1"/>
    <col min="15619" max="15619" width="0.85546875" style="108" customWidth="1"/>
    <col min="15620" max="15620" width="9" style="108" customWidth="1"/>
    <col min="15621" max="15621" width="10" style="108" customWidth="1"/>
    <col min="15622" max="15622" width="0.85546875" style="108" customWidth="1"/>
    <col min="15623" max="15623" width="12.42578125" style="108" customWidth="1"/>
    <col min="15624" max="15624" width="0.85546875" style="108" customWidth="1"/>
    <col min="15625" max="15625" width="13.7109375" style="108" customWidth="1"/>
    <col min="15626" max="15870" width="11.5703125" style="108"/>
    <col min="15871" max="15871" width="7.85546875" style="108" customWidth="1"/>
    <col min="15872" max="15872" width="24.5703125" style="108" customWidth="1"/>
    <col min="15873" max="15873" width="3.7109375" style="108" customWidth="1"/>
    <col min="15874" max="15874" width="4.85546875" style="108" customWidth="1"/>
    <col min="15875" max="15875" width="0.85546875" style="108" customWidth="1"/>
    <col min="15876" max="15876" width="9" style="108" customWidth="1"/>
    <col min="15877" max="15877" width="10" style="108" customWidth="1"/>
    <col min="15878" max="15878" width="0.85546875" style="108" customWidth="1"/>
    <col min="15879" max="15879" width="12.42578125" style="108" customWidth="1"/>
    <col min="15880" max="15880" width="0.85546875" style="108" customWidth="1"/>
    <col min="15881" max="15881" width="13.7109375" style="108" customWidth="1"/>
    <col min="15882" max="16126" width="11.5703125" style="108"/>
    <col min="16127" max="16127" width="7.85546875" style="108" customWidth="1"/>
    <col min="16128" max="16128" width="24.5703125" style="108" customWidth="1"/>
    <col min="16129" max="16129" width="3.7109375" style="108" customWidth="1"/>
    <col min="16130" max="16130" width="4.85546875" style="108" customWidth="1"/>
    <col min="16131" max="16131" width="0.85546875" style="108" customWidth="1"/>
    <col min="16132" max="16132" width="9" style="108" customWidth="1"/>
    <col min="16133" max="16133" width="10" style="108" customWidth="1"/>
    <col min="16134" max="16134" width="0.85546875" style="108" customWidth="1"/>
    <col min="16135" max="16135" width="12.42578125" style="108" customWidth="1"/>
    <col min="16136" max="16136" width="0.85546875" style="108" customWidth="1"/>
    <col min="16137" max="16137" width="13.7109375" style="108" customWidth="1"/>
    <col min="16138" max="16384" width="11.5703125" style="108"/>
  </cols>
  <sheetData>
    <row r="1" spans="1:13">
      <c r="A1" s="2"/>
    </row>
    <row r="2" spans="1:13">
      <c r="D2" s="115"/>
    </row>
    <row r="3" spans="1:13" s="109" customFormat="1" ht="33.75" customHeight="1">
      <c r="A3" s="297" t="s">
        <v>280</v>
      </c>
      <c r="B3" s="297"/>
      <c r="C3" s="297"/>
      <c r="D3" s="297"/>
      <c r="E3" s="297"/>
      <c r="F3" s="297"/>
      <c r="G3" s="297"/>
      <c r="H3" s="297"/>
      <c r="I3" s="297"/>
      <c r="J3" s="115"/>
    </row>
    <row r="6" spans="1:13">
      <c r="E6" s="300" t="s">
        <v>196</v>
      </c>
      <c r="F6" s="300"/>
      <c r="G6" s="300"/>
      <c r="H6" s="300"/>
      <c r="I6" s="300"/>
      <c r="J6" s="301" t="s">
        <v>202</v>
      </c>
      <c r="K6" s="95"/>
    </row>
    <row r="7" spans="1:13" s="111" customFormat="1" ht="38.25" customHeight="1">
      <c r="A7" s="164" t="s">
        <v>197</v>
      </c>
      <c r="B7" s="164" t="s">
        <v>198</v>
      </c>
      <c r="C7" s="164" t="s">
        <v>199</v>
      </c>
      <c r="D7" s="162" t="s">
        <v>200</v>
      </c>
      <c r="E7" s="164" t="s">
        <v>201</v>
      </c>
      <c r="F7" s="203" t="s">
        <v>294</v>
      </c>
      <c r="G7" s="211" t="s">
        <v>248</v>
      </c>
      <c r="H7" s="164" t="s">
        <v>249</v>
      </c>
      <c r="I7" s="259" t="s">
        <v>37</v>
      </c>
      <c r="J7" s="301"/>
      <c r="K7" s="116"/>
    </row>
    <row r="8" spans="1:13" s="111" customFormat="1">
      <c r="A8" s="70">
        <v>1</v>
      </c>
      <c r="B8" s="197" t="s">
        <v>230</v>
      </c>
      <c r="C8" s="70" t="s">
        <v>203</v>
      </c>
      <c r="D8" s="12">
        <f>'C6B'!D8</f>
        <v>1</v>
      </c>
      <c r="E8" s="159">
        <f>'C6D'!E8+'C6D'!E8*'C6E'!$E$49</f>
        <v>5150.4109800000006</v>
      </c>
      <c r="F8" s="159">
        <f>D8*E8</f>
        <v>5150.4109800000006</v>
      </c>
      <c r="G8" s="165">
        <f>'C6D'!G8</f>
        <v>1.8</v>
      </c>
      <c r="H8" s="159">
        <f t="shared" ref="H8:H31" si="0">E8*G8</f>
        <v>9270.7397640000017</v>
      </c>
      <c r="I8" s="159">
        <f>(H8*D8)+F8</f>
        <v>14421.150744000002</v>
      </c>
      <c r="J8" s="127">
        <f>I8*$E$48</f>
        <v>173053.80892800004</v>
      </c>
      <c r="K8" s="116"/>
    </row>
    <row r="9" spans="1:13" s="111" customFormat="1">
      <c r="A9" s="70">
        <v>1</v>
      </c>
      <c r="B9" s="197" t="s">
        <v>258</v>
      </c>
      <c r="C9" s="70" t="s">
        <v>203</v>
      </c>
      <c r="D9" s="12">
        <f>'C6B'!D9</f>
        <v>1</v>
      </c>
      <c r="E9" s="159">
        <f>'C6D'!E9+'C6D'!E9*'C6E'!$E$49</f>
        <v>2009.9164799999999</v>
      </c>
      <c r="F9" s="159">
        <f t="shared" ref="F9:F31" si="1">D9*E9</f>
        <v>2009.9164799999999</v>
      </c>
      <c r="G9" s="165">
        <f>'C6D'!G9</f>
        <v>1.8</v>
      </c>
      <c r="H9" s="159">
        <f t="shared" si="0"/>
        <v>3617.8496639999998</v>
      </c>
      <c r="I9" s="159">
        <f t="shared" ref="I9:I31" si="2">(H9*D9)+F9</f>
        <v>5627.7661439999993</v>
      </c>
      <c r="J9" s="127">
        <f t="shared" ref="J9:J13" si="3">I9*$E$48</f>
        <v>67533.193727999984</v>
      </c>
      <c r="K9" s="116"/>
    </row>
    <row r="10" spans="1:13" s="111" customFormat="1">
      <c r="A10" s="70">
        <v>1</v>
      </c>
      <c r="B10" s="197" t="s">
        <v>259</v>
      </c>
      <c r="C10" s="70" t="s">
        <v>203</v>
      </c>
      <c r="D10" s="12">
        <f>'C6B'!D10</f>
        <v>1</v>
      </c>
      <c r="E10" s="159">
        <f>'C6D'!E10+'C6D'!E10*'C6E'!$E$49</f>
        <v>2009.9164799999999</v>
      </c>
      <c r="F10" s="159">
        <f t="shared" si="1"/>
        <v>2009.9164799999999</v>
      </c>
      <c r="G10" s="165">
        <f>'C6D'!G10</f>
        <v>1.8</v>
      </c>
      <c r="H10" s="159">
        <f t="shared" si="0"/>
        <v>3617.8496639999998</v>
      </c>
      <c r="I10" s="159">
        <f t="shared" si="2"/>
        <v>5627.7661439999993</v>
      </c>
      <c r="J10" s="127">
        <f t="shared" si="3"/>
        <v>67533.193727999984</v>
      </c>
      <c r="K10" s="116"/>
    </row>
    <row r="11" spans="1:13" s="111" customFormat="1">
      <c r="A11" s="70">
        <v>1</v>
      </c>
      <c r="B11" s="197" t="s">
        <v>260</v>
      </c>
      <c r="C11" s="70" t="s">
        <v>203</v>
      </c>
      <c r="D11" s="12">
        <f>'C6B'!D11</f>
        <v>1</v>
      </c>
      <c r="E11" s="159">
        <f>'C6D'!E11+'C6D'!E11*'C6E'!$E$49</f>
        <v>2009.9164799999999</v>
      </c>
      <c r="F11" s="159">
        <f t="shared" si="1"/>
        <v>2009.9164799999999</v>
      </c>
      <c r="G11" s="165">
        <f>'C6D'!G11</f>
        <v>1.8</v>
      </c>
      <c r="H11" s="159">
        <f t="shared" si="0"/>
        <v>3617.8496639999998</v>
      </c>
      <c r="I11" s="159">
        <f t="shared" si="2"/>
        <v>5627.7661439999993</v>
      </c>
      <c r="J11" s="127">
        <f t="shared" si="3"/>
        <v>67533.193727999984</v>
      </c>
      <c r="K11" s="116"/>
    </row>
    <row r="12" spans="1:13" s="111" customFormat="1">
      <c r="A12" s="70">
        <v>1</v>
      </c>
      <c r="B12" s="197" t="s">
        <v>215</v>
      </c>
      <c r="C12" s="70" t="s">
        <v>203</v>
      </c>
      <c r="D12" s="12">
        <f>'C6B'!D12</f>
        <v>1</v>
      </c>
      <c r="E12" s="159">
        <f>'C6D'!E12+'C6D'!E12*'C6E'!$E$49</f>
        <v>4522.3120800000006</v>
      </c>
      <c r="F12" s="159">
        <f t="shared" si="1"/>
        <v>4522.3120800000006</v>
      </c>
      <c r="G12" s="165">
        <f>'C6D'!G12</f>
        <v>1.8</v>
      </c>
      <c r="H12" s="159">
        <f t="shared" si="0"/>
        <v>8140.1617440000009</v>
      </c>
      <c r="I12" s="159">
        <f t="shared" si="2"/>
        <v>12662.473824000001</v>
      </c>
      <c r="J12" s="127">
        <f t="shared" si="3"/>
        <v>151949.68588800001</v>
      </c>
      <c r="K12" s="116"/>
    </row>
    <row r="13" spans="1:13" s="111" customFormat="1">
      <c r="A13" s="70">
        <v>1</v>
      </c>
      <c r="B13" s="197" t="s">
        <v>216</v>
      </c>
      <c r="C13" s="70" t="s">
        <v>203</v>
      </c>
      <c r="D13" s="12">
        <f>'C6B'!D13</f>
        <v>1</v>
      </c>
      <c r="E13" s="159">
        <f>'C6D'!E13+'C6D'!E13*'C6E'!$E$49</f>
        <v>4522.3120800000006</v>
      </c>
      <c r="F13" s="159">
        <f t="shared" si="1"/>
        <v>4522.3120800000006</v>
      </c>
      <c r="G13" s="165">
        <f>'C6D'!G13</f>
        <v>1.8</v>
      </c>
      <c r="H13" s="159">
        <f t="shared" si="0"/>
        <v>8140.1617440000009</v>
      </c>
      <c r="I13" s="159">
        <f t="shared" si="2"/>
        <v>12662.473824000001</v>
      </c>
      <c r="J13" s="127">
        <f t="shared" si="3"/>
        <v>151949.68588800001</v>
      </c>
      <c r="K13" s="116"/>
    </row>
    <row r="14" spans="1:13" s="111" customFormat="1">
      <c r="A14" s="65">
        <v>2</v>
      </c>
      <c r="B14" s="198" t="s">
        <v>213</v>
      </c>
      <c r="C14" s="12" t="s">
        <v>203</v>
      </c>
      <c r="D14" s="12">
        <f>'C6B'!D14</f>
        <v>1</v>
      </c>
      <c r="E14" s="159">
        <f>'C6D'!E14+'C6D'!E14*'C6E'!$E$49</f>
        <v>3221.02</v>
      </c>
      <c r="F14" s="159">
        <f t="shared" si="1"/>
        <v>3221.02</v>
      </c>
      <c r="G14" s="165">
        <f>'C6D'!G14</f>
        <v>1.8</v>
      </c>
      <c r="H14" s="159">
        <f t="shared" si="0"/>
        <v>5797.8360000000002</v>
      </c>
      <c r="I14" s="159">
        <f t="shared" si="2"/>
        <v>9018.8559999999998</v>
      </c>
      <c r="J14" s="127">
        <f t="shared" ref="J14:J30" si="4">I14*$E$48</f>
        <v>108226.272</v>
      </c>
      <c r="K14" s="116"/>
    </row>
    <row r="15" spans="1:13" s="111" customFormat="1">
      <c r="A15" s="65">
        <v>2</v>
      </c>
      <c r="B15" s="198" t="s">
        <v>214</v>
      </c>
      <c r="C15" s="12" t="s">
        <v>203</v>
      </c>
      <c r="D15" s="12">
        <f>'C6B'!D15</f>
        <v>1</v>
      </c>
      <c r="E15" s="159">
        <f>'C6D'!E15+'C6D'!E15*'C6E'!$E$49</f>
        <v>1464.1</v>
      </c>
      <c r="F15" s="159">
        <f t="shared" si="1"/>
        <v>1464.1</v>
      </c>
      <c r="G15" s="165">
        <f>'C6D'!G15</f>
        <v>1.8</v>
      </c>
      <c r="H15" s="159">
        <f t="shared" si="0"/>
        <v>2635.38</v>
      </c>
      <c r="I15" s="159">
        <f t="shared" si="2"/>
        <v>4099.4799999999996</v>
      </c>
      <c r="J15" s="127">
        <f t="shared" si="4"/>
        <v>49193.759999999995</v>
      </c>
      <c r="K15" s="116"/>
      <c r="L15" s="199"/>
      <c r="M15" s="199"/>
    </row>
    <row r="16" spans="1:13" s="111" customFormat="1">
      <c r="A16" s="65">
        <v>3</v>
      </c>
      <c r="B16" s="198" t="s">
        <v>217</v>
      </c>
      <c r="C16" s="12" t="s">
        <v>203</v>
      </c>
      <c r="D16" s="12">
        <f>'C6B'!D16</f>
        <v>2</v>
      </c>
      <c r="E16" s="159">
        <f>'C6D'!E16+'C6D'!E16*'C6E'!$E$49</f>
        <v>1756.92</v>
      </c>
      <c r="F16" s="159">
        <f t="shared" si="1"/>
        <v>3513.84</v>
      </c>
      <c r="G16" s="165">
        <f>'C6D'!G16</f>
        <v>1.8</v>
      </c>
      <c r="H16" s="159">
        <f t="shared" si="0"/>
        <v>3162.4560000000001</v>
      </c>
      <c r="I16" s="159">
        <f t="shared" si="2"/>
        <v>9838.7520000000004</v>
      </c>
      <c r="J16" s="127">
        <f t="shared" si="4"/>
        <v>118065.024</v>
      </c>
      <c r="K16" s="116"/>
      <c r="L16" s="199"/>
      <c r="M16" s="199"/>
    </row>
    <row r="17" spans="1:13" s="111" customFormat="1">
      <c r="A17" s="65">
        <v>3</v>
      </c>
      <c r="B17" s="198" t="s">
        <v>218</v>
      </c>
      <c r="C17" s="12" t="s">
        <v>203</v>
      </c>
      <c r="D17" s="12">
        <f>'C6B'!D17</f>
        <v>4</v>
      </c>
      <c r="E17" s="159">
        <f>'C6D'!E17+'C6D'!E17*'C6E'!$E$49</f>
        <v>1449.4590000000001</v>
      </c>
      <c r="F17" s="159">
        <f t="shared" si="1"/>
        <v>5797.8360000000002</v>
      </c>
      <c r="G17" s="165">
        <f>'C6D'!G17</f>
        <v>1.8</v>
      </c>
      <c r="H17" s="159">
        <f t="shared" si="0"/>
        <v>2609.0262000000002</v>
      </c>
      <c r="I17" s="159">
        <f t="shared" si="2"/>
        <v>16233.9408</v>
      </c>
      <c r="J17" s="127">
        <f t="shared" si="4"/>
        <v>194807.28960000002</v>
      </c>
      <c r="K17" s="116"/>
      <c r="L17" s="199"/>
      <c r="M17" s="199"/>
    </row>
    <row r="18" spans="1:13" s="111" customFormat="1">
      <c r="A18" s="65">
        <v>4</v>
      </c>
      <c r="B18" s="198" t="s">
        <v>261</v>
      </c>
      <c r="C18" s="12" t="s">
        <v>203</v>
      </c>
      <c r="D18" s="12">
        <f>'C6B'!D18</f>
        <v>10</v>
      </c>
      <c r="E18" s="159">
        <f>'C6D'!E18+'C6D'!E18*'C6E'!$E$49</f>
        <v>1287.1781559999999</v>
      </c>
      <c r="F18" s="159">
        <f t="shared" si="1"/>
        <v>12871.781559999999</v>
      </c>
      <c r="G18" s="165">
        <f>'C6D'!G18</f>
        <v>1.8</v>
      </c>
      <c r="H18" s="159">
        <f t="shared" si="0"/>
        <v>2316.9206807999999</v>
      </c>
      <c r="I18" s="159">
        <f t="shared" si="2"/>
        <v>36040.988367999998</v>
      </c>
      <c r="J18" s="127">
        <f t="shared" si="4"/>
        <v>432491.86041600001</v>
      </c>
      <c r="K18" s="116"/>
      <c r="L18" s="199"/>
      <c r="M18" s="199"/>
    </row>
    <row r="19" spans="1:13" s="111" customFormat="1">
      <c r="A19" s="65">
        <v>4</v>
      </c>
      <c r="B19" s="198" t="s">
        <v>262</v>
      </c>
      <c r="C19" s="12" t="s">
        <v>203</v>
      </c>
      <c r="D19" s="12">
        <f>'C6B'!D19</f>
        <v>8</v>
      </c>
      <c r="E19" s="159">
        <f>'C6D'!E19+'C6D'!E19*'C6E'!$E$49</f>
        <v>1385.0385999999996</v>
      </c>
      <c r="F19" s="159">
        <f t="shared" si="1"/>
        <v>11080.308799999997</v>
      </c>
      <c r="G19" s="165">
        <f>'C6D'!G19</f>
        <v>1.8</v>
      </c>
      <c r="H19" s="159">
        <f t="shared" si="0"/>
        <v>2493.0694799999992</v>
      </c>
      <c r="I19" s="159">
        <f t="shared" si="2"/>
        <v>31024.864639999993</v>
      </c>
      <c r="J19" s="127">
        <f t="shared" si="4"/>
        <v>372298.37567999994</v>
      </c>
      <c r="K19" s="116"/>
      <c r="L19" s="199"/>
      <c r="M19" s="199"/>
    </row>
    <row r="20" spans="1:13" s="111" customFormat="1">
      <c r="A20" s="65">
        <v>3</v>
      </c>
      <c r="B20" s="198" t="s">
        <v>219</v>
      </c>
      <c r="C20" s="12" t="s">
        <v>203</v>
      </c>
      <c r="D20" s="12">
        <f>'C6B'!D20</f>
        <v>2</v>
      </c>
      <c r="E20" s="159">
        <f>'C6D'!E20+'C6D'!E20*'C6E'!$E$49</f>
        <v>1287.3831299999999</v>
      </c>
      <c r="F20" s="159">
        <f t="shared" si="1"/>
        <v>2574.7662599999999</v>
      </c>
      <c r="G20" s="165">
        <f>'C6D'!G20</f>
        <v>1.8</v>
      </c>
      <c r="H20" s="159">
        <f t="shared" si="0"/>
        <v>2317.2896339999998</v>
      </c>
      <c r="I20" s="159">
        <f t="shared" si="2"/>
        <v>7209.3455279999998</v>
      </c>
      <c r="J20" s="127">
        <f t="shared" si="4"/>
        <v>86512.146336000005</v>
      </c>
      <c r="K20" s="116"/>
    </row>
    <row r="21" spans="1:13" s="111" customFormat="1">
      <c r="A21" s="65">
        <v>2</v>
      </c>
      <c r="B21" s="198" t="s">
        <v>220</v>
      </c>
      <c r="C21" s="12" t="s">
        <v>203</v>
      </c>
      <c r="D21" s="12">
        <f>'C6B'!D21</f>
        <v>1</v>
      </c>
      <c r="E21" s="159">
        <f>'C6D'!E21+'C6D'!E21*'C6E'!$E$49</f>
        <v>2196.15</v>
      </c>
      <c r="F21" s="159">
        <f t="shared" si="1"/>
        <v>2196.15</v>
      </c>
      <c r="G21" s="165">
        <f>'C6D'!G21</f>
        <v>1.8</v>
      </c>
      <c r="H21" s="159">
        <f t="shared" si="0"/>
        <v>3953.07</v>
      </c>
      <c r="I21" s="159">
        <f t="shared" si="2"/>
        <v>6149.22</v>
      </c>
      <c r="J21" s="127">
        <f t="shared" si="4"/>
        <v>73790.64</v>
      </c>
      <c r="K21" s="116"/>
    </row>
    <row r="22" spans="1:13" s="111" customFormat="1">
      <c r="A22" s="65">
        <v>2</v>
      </c>
      <c r="B22" s="198" t="s">
        <v>221</v>
      </c>
      <c r="C22" s="12" t="s">
        <v>203</v>
      </c>
      <c r="D22" s="12">
        <f>'C6B'!D22</f>
        <v>1</v>
      </c>
      <c r="E22" s="159">
        <f>'C6D'!E22+'C6D'!E22*'C6E'!$E$49</f>
        <v>2009.9164799999999</v>
      </c>
      <c r="F22" s="159">
        <f t="shared" si="1"/>
        <v>2009.9164799999999</v>
      </c>
      <c r="G22" s="165">
        <f>'C6D'!G22</f>
        <v>1.8</v>
      </c>
      <c r="H22" s="159">
        <f t="shared" si="0"/>
        <v>3617.8496639999998</v>
      </c>
      <c r="I22" s="159">
        <f t="shared" si="2"/>
        <v>5627.7661439999993</v>
      </c>
      <c r="J22" s="127">
        <f t="shared" si="4"/>
        <v>67533.193727999984</v>
      </c>
      <c r="K22" s="116"/>
    </row>
    <row r="23" spans="1:13" s="111" customFormat="1">
      <c r="A23" s="65">
        <v>2</v>
      </c>
      <c r="B23" s="198" t="s">
        <v>222</v>
      </c>
      <c r="C23" s="12" t="s">
        <v>203</v>
      </c>
      <c r="D23" s="12">
        <f>'C6B'!D23</f>
        <v>1</v>
      </c>
      <c r="E23" s="159">
        <f>'C6D'!E23+'C6D'!E23*'C6E'!$E$49</f>
        <v>1756.92</v>
      </c>
      <c r="F23" s="159">
        <f t="shared" si="1"/>
        <v>1756.92</v>
      </c>
      <c r="G23" s="165">
        <f>'C6D'!G23</f>
        <v>1.8</v>
      </c>
      <c r="H23" s="159">
        <f t="shared" si="0"/>
        <v>3162.4560000000001</v>
      </c>
      <c r="I23" s="159">
        <f t="shared" si="2"/>
        <v>4919.3760000000002</v>
      </c>
      <c r="J23" s="127">
        <f t="shared" si="4"/>
        <v>59032.512000000002</v>
      </c>
      <c r="K23" s="116"/>
    </row>
    <row r="24" spans="1:13" s="111" customFormat="1">
      <c r="A24" s="65">
        <v>2</v>
      </c>
      <c r="B24" s="198" t="s">
        <v>223</v>
      </c>
      <c r="C24" s="12" t="s">
        <v>203</v>
      </c>
      <c r="D24" s="12">
        <f>'C6B'!D24</f>
        <v>1</v>
      </c>
      <c r="E24" s="159">
        <f>'C6D'!E24+'C6D'!E24*'C6E'!$E$49</f>
        <v>1507.4373599999999</v>
      </c>
      <c r="F24" s="159">
        <f t="shared" si="1"/>
        <v>1507.4373599999999</v>
      </c>
      <c r="G24" s="165">
        <f>'C6D'!G24</f>
        <v>1.8</v>
      </c>
      <c r="H24" s="159">
        <f t="shared" si="0"/>
        <v>2713.387248</v>
      </c>
      <c r="I24" s="159">
        <f t="shared" si="2"/>
        <v>4220.8246079999999</v>
      </c>
      <c r="J24" s="127">
        <f t="shared" si="4"/>
        <v>50649.895296000002</v>
      </c>
      <c r="K24" s="116"/>
    </row>
    <row r="25" spans="1:13">
      <c r="A25" s="65">
        <v>3</v>
      </c>
      <c r="B25" s="198" t="s">
        <v>229</v>
      </c>
      <c r="C25" s="12" t="s">
        <v>203</v>
      </c>
      <c r="D25" s="12">
        <f>'C6B'!D25</f>
        <v>3</v>
      </c>
      <c r="E25" s="159">
        <f>'C6D'!E25+'C6D'!E25*'C6E'!$E$49</f>
        <v>1287.1781559999999</v>
      </c>
      <c r="F25" s="159">
        <f t="shared" si="1"/>
        <v>3861.5344679999998</v>
      </c>
      <c r="G25" s="165">
        <f>'C6D'!G25</f>
        <v>1.8</v>
      </c>
      <c r="H25" s="159">
        <f t="shared" si="0"/>
        <v>2316.9206807999999</v>
      </c>
      <c r="I25" s="159">
        <f t="shared" si="2"/>
        <v>10812.2965104</v>
      </c>
      <c r="J25" s="127">
        <f t="shared" si="4"/>
        <v>129747.55812479999</v>
      </c>
      <c r="K25" s="95"/>
    </row>
    <row r="26" spans="1:13">
      <c r="A26" s="65">
        <v>3</v>
      </c>
      <c r="B26" s="198" t="s">
        <v>224</v>
      </c>
      <c r="C26" s="12" t="s">
        <v>203</v>
      </c>
      <c r="D26" s="12">
        <f>'C6B'!D26</f>
        <v>3</v>
      </c>
      <c r="E26" s="159">
        <f>'C6D'!E26+'C6D'!E26*'C6E'!$E$49</f>
        <v>1610.51</v>
      </c>
      <c r="F26" s="159">
        <f t="shared" si="1"/>
        <v>4831.53</v>
      </c>
      <c r="G26" s="165">
        <f>'C6D'!G26</f>
        <v>1.8</v>
      </c>
      <c r="H26" s="159">
        <f t="shared" si="0"/>
        <v>2898.9180000000001</v>
      </c>
      <c r="I26" s="159">
        <f t="shared" si="2"/>
        <v>13528.284</v>
      </c>
      <c r="J26" s="127">
        <f t="shared" si="4"/>
        <v>162339.408</v>
      </c>
      <c r="K26" s="95"/>
    </row>
    <row r="27" spans="1:13">
      <c r="A27" s="65">
        <v>3</v>
      </c>
      <c r="B27" s="198" t="s">
        <v>225</v>
      </c>
      <c r="C27" s="12" t="s">
        <v>203</v>
      </c>
      <c r="D27" s="12">
        <f>'C6B'!D27</f>
        <v>2</v>
      </c>
      <c r="E27" s="159">
        <f>'C6D'!E27+'C6D'!E27*'C6E'!$E$49</f>
        <v>1464.1</v>
      </c>
      <c r="F27" s="159">
        <f t="shared" si="1"/>
        <v>2928.2</v>
      </c>
      <c r="G27" s="165">
        <f>'C6D'!G27</f>
        <v>1.8</v>
      </c>
      <c r="H27" s="159">
        <f t="shared" si="0"/>
        <v>2635.38</v>
      </c>
      <c r="I27" s="159">
        <f t="shared" si="2"/>
        <v>8198.9599999999991</v>
      </c>
      <c r="J27" s="127">
        <f t="shared" si="4"/>
        <v>98387.51999999999</v>
      </c>
      <c r="K27" s="95"/>
    </row>
    <row r="28" spans="1:13">
      <c r="A28" s="65">
        <v>4</v>
      </c>
      <c r="B28" s="198" t="s">
        <v>226</v>
      </c>
      <c r="C28" s="12" t="s">
        <v>203</v>
      </c>
      <c r="D28" s="12">
        <f>'C6B'!D28</f>
        <v>10</v>
      </c>
      <c r="E28" s="159">
        <f>'C6D'!E28+'C6D'!E28*'C6E'!$E$49</f>
        <v>1345.7421560000003</v>
      </c>
      <c r="F28" s="159">
        <f t="shared" si="1"/>
        <v>13457.421560000003</v>
      </c>
      <c r="G28" s="165">
        <f>'C6D'!G28</f>
        <v>1.8</v>
      </c>
      <c r="H28" s="159">
        <f t="shared" si="0"/>
        <v>2422.3358808000007</v>
      </c>
      <c r="I28" s="159">
        <f t="shared" si="2"/>
        <v>37680.780368000007</v>
      </c>
      <c r="J28" s="127">
        <f t="shared" si="4"/>
        <v>452169.36441600008</v>
      </c>
      <c r="K28" s="95"/>
    </row>
    <row r="29" spans="1:13">
      <c r="A29" s="65">
        <v>4</v>
      </c>
      <c r="B29" s="198" t="s">
        <v>228</v>
      </c>
      <c r="C29" s="12" t="s">
        <v>203</v>
      </c>
      <c r="D29" s="12">
        <f>'C6B'!D29</f>
        <v>1</v>
      </c>
      <c r="E29" s="159">
        <f>'C6D'!E29+'C6D'!E29*'C6E'!$E$49</f>
        <v>1229.8440000000001</v>
      </c>
      <c r="F29" s="159">
        <f t="shared" si="1"/>
        <v>1229.8440000000001</v>
      </c>
      <c r="G29" s="165">
        <f>'C6D'!G29</f>
        <v>1.8</v>
      </c>
      <c r="H29" s="159">
        <f t="shared" si="0"/>
        <v>2213.7192</v>
      </c>
      <c r="I29" s="159">
        <f t="shared" si="2"/>
        <v>3443.5632000000001</v>
      </c>
      <c r="J29" s="127">
        <f t="shared" si="4"/>
        <v>41322.758399999999</v>
      </c>
      <c r="K29" s="95"/>
    </row>
    <row r="30" spans="1:13">
      <c r="A30" s="65">
        <v>3</v>
      </c>
      <c r="B30" s="198" t="s">
        <v>227</v>
      </c>
      <c r="C30" s="12" t="s">
        <v>203</v>
      </c>
      <c r="D30" s="12">
        <f>'C6B'!D30</f>
        <v>1</v>
      </c>
      <c r="E30" s="159">
        <f>'C6D'!E30+'C6D'!E30*'C6E'!$E$49</f>
        <v>1976.5349999999999</v>
      </c>
      <c r="F30" s="159">
        <f t="shared" si="1"/>
        <v>1976.5349999999999</v>
      </c>
      <c r="G30" s="165">
        <f>'C6D'!G30</f>
        <v>1.8</v>
      </c>
      <c r="H30" s="159">
        <f t="shared" si="0"/>
        <v>3557.7629999999999</v>
      </c>
      <c r="I30" s="159">
        <f t="shared" si="2"/>
        <v>5534.2979999999998</v>
      </c>
      <c r="J30" s="127">
        <f t="shared" si="4"/>
        <v>66411.576000000001</v>
      </c>
      <c r="K30" s="95"/>
    </row>
    <row r="31" spans="1:13">
      <c r="A31" s="65">
        <v>3</v>
      </c>
      <c r="B31" s="198" t="s">
        <v>253</v>
      </c>
      <c r="C31" s="12" t="s">
        <v>204</v>
      </c>
      <c r="D31" s="12">
        <f>'C6B'!D31</f>
        <v>2</v>
      </c>
      <c r="E31" s="159">
        <f>'C6D'!E31+'C6D'!E31*'C6E'!$E$49</f>
        <v>878.46</v>
      </c>
      <c r="F31" s="159">
        <f t="shared" si="1"/>
        <v>1756.92</v>
      </c>
      <c r="G31" s="165">
        <f>'C6D'!G31</f>
        <v>1.8</v>
      </c>
      <c r="H31" s="159">
        <f t="shared" si="0"/>
        <v>1581.2280000000001</v>
      </c>
      <c r="I31" s="159">
        <f t="shared" si="2"/>
        <v>4919.3760000000002</v>
      </c>
      <c r="J31" s="127">
        <f>I31*$E$50</f>
        <v>14758.128000000001</v>
      </c>
      <c r="K31" s="95"/>
    </row>
    <row r="32" spans="1:13" s="110" customFormat="1">
      <c r="A32" s="7"/>
      <c r="B32" s="163" t="s">
        <v>162</v>
      </c>
      <c r="C32" s="8"/>
      <c r="D32" s="8">
        <f>SUM(D8:D31)</f>
        <v>60</v>
      </c>
      <c r="E32" s="131">
        <f>SUM(E8:E31)</f>
        <v>49338.67661799999</v>
      </c>
      <c r="F32" s="131">
        <f>SUM(F8:F31)</f>
        <v>98260.846067999984</v>
      </c>
      <c r="G32" s="8"/>
      <c r="H32" s="131">
        <f>SUM(H8:H31)</f>
        <v>88809.617912400034</v>
      </c>
      <c r="I32" s="131">
        <f>SUM(I8:I31)</f>
        <v>275130.36899039993</v>
      </c>
      <c r="J32" s="131">
        <f>SUM(J8:J31)</f>
        <v>3257290.0438847998</v>
      </c>
      <c r="K32" s="115"/>
    </row>
    <row r="33" spans="1:11">
      <c r="B33" s="95"/>
      <c r="G33" s="5"/>
      <c r="H33" s="5"/>
      <c r="I33" s="5"/>
    </row>
    <row r="34" spans="1:11" ht="31.5">
      <c r="D34" s="202" t="s">
        <v>200</v>
      </c>
      <c r="E34" s="164" t="s">
        <v>249</v>
      </c>
      <c r="F34" s="15" t="s">
        <v>37</v>
      </c>
      <c r="G34" s="15" t="s">
        <v>202</v>
      </c>
      <c r="I34" s="108"/>
      <c r="J34" s="200"/>
    </row>
    <row r="35" spans="1:11">
      <c r="A35" s="65">
        <v>1</v>
      </c>
      <c r="B35" s="12" t="s">
        <v>205</v>
      </c>
      <c r="C35" s="12"/>
      <c r="D35" s="11">
        <f>SUMIF($A$8:$A$31,A35,$D$8:$D$31)</f>
        <v>6</v>
      </c>
      <c r="E35" s="127">
        <f>SUMIF($A$8:$A$31,A35,$H$8:$H$31)</f>
        <v>36404.612244000004</v>
      </c>
      <c r="F35" s="127">
        <f>SUMIF($A$8:$A$31,A35,$I$8:$I$31)</f>
        <v>56629.396824000003</v>
      </c>
      <c r="G35" s="127">
        <f>SUMIF($A$8:$A$31,A35,$J$8:$J$31)</f>
        <v>679552.76188799995</v>
      </c>
      <c r="I35" s="108"/>
      <c r="J35" s="200"/>
    </row>
    <row r="36" spans="1:11">
      <c r="A36" s="65">
        <v>2</v>
      </c>
      <c r="B36" s="12" t="s">
        <v>206</v>
      </c>
      <c r="C36" s="12"/>
      <c r="D36" s="11">
        <f>SUMIF($A$8:$A$31,A36,$D$8:$D$31)</f>
        <v>6</v>
      </c>
      <c r="E36" s="127">
        <f>SUMIF($A$8:$A$31,A36,$H$8:$H$31)</f>
        <v>21879.978911999999</v>
      </c>
      <c r="F36" s="127">
        <f>SUMIF($A$8:$A$31,A36,$I$8:$I$31)</f>
        <v>34035.522751999997</v>
      </c>
      <c r="G36" s="127">
        <f>SUMIF($A$8:$A$31,A36,$J$8:$J$31)</f>
        <v>408426.27302399999</v>
      </c>
      <c r="I36" s="108"/>
      <c r="J36" s="200"/>
    </row>
    <row r="37" spans="1:11">
      <c r="A37" s="65">
        <v>3</v>
      </c>
      <c r="B37" s="12" t="s">
        <v>207</v>
      </c>
      <c r="C37" s="12"/>
      <c r="D37" s="11">
        <f>SUMIF($A$8:$A$31,A37,$D$8:$D$31)</f>
        <v>19</v>
      </c>
      <c r="E37" s="127">
        <f>SUMIF($A$8:$A$31,A37,$H$8:$H$31)</f>
        <v>21078.981514799998</v>
      </c>
      <c r="F37" s="127">
        <f>SUMIF($A$8:$A$31,A37,$I$8:$I$31)</f>
        <v>76275.252838399989</v>
      </c>
      <c r="G37" s="127">
        <f>SUMIF($A$8:$A$31,A37,$J$8:$J$31)</f>
        <v>871028.65006080002</v>
      </c>
      <c r="I37" s="108"/>
      <c r="J37" s="200"/>
    </row>
    <row r="38" spans="1:11">
      <c r="A38" s="65">
        <v>4</v>
      </c>
      <c r="B38" s="12" t="s">
        <v>208</v>
      </c>
      <c r="C38" s="12"/>
      <c r="D38" s="11">
        <f>SUMIF($A$8:$A$31,A38,$D$8:$D$31)</f>
        <v>29</v>
      </c>
      <c r="E38" s="127">
        <f>SUMIF($A$8:$A$31,A38,$H$8:$H$31)</f>
        <v>9446.0452415999989</v>
      </c>
      <c r="F38" s="127">
        <f>SUMIF($A$8:$A$31,A38,$I$8:$I$31)</f>
        <v>108190.196576</v>
      </c>
      <c r="G38" s="127">
        <f>SUMIF($A$8:$A$31,A38,$J$8:$J$31)</f>
        <v>1298282.358912</v>
      </c>
      <c r="I38" s="108"/>
      <c r="J38" s="200"/>
    </row>
    <row r="39" spans="1:11" s="110" customFormat="1">
      <c r="A39" s="7"/>
      <c r="B39" s="163" t="s">
        <v>162</v>
      </c>
      <c r="C39" s="8"/>
      <c r="D39" s="13">
        <f>SUM(D35:D38)</f>
        <v>60</v>
      </c>
      <c r="E39" s="131">
        <f>SUM(E35:E38)</f>
        <v>88809.617912400005</v>
      </c>
      <c r="F39" s="131">
        <f>SUM(F35:F38)</f>
        <v>275130.36899039999</v>
      </c>
      <c r="G39" s="131">
        <f>SUM(G35:G38)</f>
        <v>3257290.0438847998</v>
      </c>
      <c r="H39" s="2"/>
      <c r="J39" s="201"/>
    </row>
    <row r="40" spans="1:11">
      <c r="G40" s="5"/>
      <c r="H40" s="5"/>
      <c r="I40" s="5"/>
    </row>
    <row r="41" spans="1:11" ht="31.5">
      <c r="D41" s="202" t="s">
        <v>200</v>
      </c>
      <c r="E41" s="203" t="s">
        <v>298</v>
      </c>
      <c r="F41" s="203" t="s">
        <v>299</v>
      </c>
      <c r="G41" s="211" t="s">
        <v>300</v>
      </c>
      <c r="H41" s="211" t="s">
        <v>202</v>
      </c>
      <c r="J41" s="108"/>
      <c r="K41" s="200"/>
    </row>
    <row r="42" spans="1:11">
      <c r="B42" s="9" t="s">
        <v>209</v>
      </c>
      <c r="C42" s="65" t="s">
        <v>203</v>
      </c>
      <c r="D42" s="138">
        <f>SUMIF(C8:C31,C42,D8:D31)</f>
        <v>58</v>
      </c>
      <c r="E42" s="151">
        <f>SUMIF(C8:C31,C42,F8:F31)</f>
        <v>96503.926067999986</v>
      </c>
      <c r="F42" s="127">
        <f>SUMIF(C8:C31,C42,H8:H31)</f>
        <v>87228.389912400031</v>
      </c>
      <c r="G42" s="127">
        <f>SUMIF(C8:C31,C42,I8:I31)</f>
        <v>270210.99299039994</v>
      </c>
      <c r="H42" s="127">
        <f>SUMIF(C8:C31,C42,J8:J31)</f>
        <v>3242531.9158847998</v>
      </c>
      <c r="J42" s="108"/>
      <c r="K42" s="200"/>
    </row>
    <row r="43" spans="1:11">
      <c r="B43" s="9" t="s">
        <v>210</v>
      </c>
      <c r="C43" s="65" t="s">
        <v>204</v>
      </c>
      <c r="D43" s="138">
        <f>SUMIF(C8:C31,C43,D8:D31)</f>
        <v>2</v>
      </c>
      <c r="E43" s="151">
        <f>SUMIF(C8:C31,C43,F8:F31)</f>
        <v>1756.92</v>
      </c>
      <c r="F43" s="127">
        <f>SUMIF(C8:C31,C43,H8:H31)</f>
        <v>1581.2280000000001</v>
      </c>
      <c r="G43" s="127">
        <f>SUMIF(C8:C31,C43,I8:I31)</f>
        <v>4919.3760000000002</v>
      </c>
      <c r="H43" s="127">
        <f>SUMIF(C8:C31,C43,J8:J31)</f>
        <v>14758.128000000001</v>
      </c>
      <c r="J43" s="108"/>
      <c r="K43" s="200"/>
    </row>
    <row r="44" spans="1:11" s="110" customFormat="1">
      <c r="A44" s="2"/>
      <c r="B44" s="163" t="s">
        <v>162</v>
      </c>
      <c r="C44" s="7"/>
      <c r="D44" s="137">
        <f>SUM(D42:D43)</f>
        <v>60</v>
      </c>
      <c r="E44" s="131">
        <f>SUM(E42:E43)</f>
        <v>98260.846067999984</v>
      </c>
      <c r="F44" s="131">
        <f>SUM(F42:F43)</f>
        <v>88809.617912400034</v>
      </c>
      <c r="G44" s="131">
        <f>SUM(G42:G43)</f>
        <v>275130.36899039993</v>
      </c>
      <c r="H44" s="131">
        <f>SUM(H42:H43)</f>
        <v>3257290.0438847998</v>
      </c>
      <c r="I44" s="2"/>
      <c r="K44" s="201"/>
    </row>
    <row r="45" spans="1:11">
      <c r="E45" s="5"/>
      <c r="F45" s="5"/>
      <c r="H45" s="108"/>
      <c r="I45" s="108"/>
      <c r="J45" s="200"/>
    </row>
    <row r="46" spans="1:11">
      <c r="B46" s="2" t="s">
        <v>95</v>
      </c>
      <c r="H46" s="108"/>
      <c r="I46" s="108"/>
      <c r="J46" s="200"/>
    </row>
    <row r="47" spans="1:11">
      <c r="B47" s="3" t="s">
        <v>248</v>
      </c>
      <c r="E47" s="4">
        <v>1.8</v>
      </c>
      <c r="F47" s="4"/>
      <c r="G47" s="3" t="s">
        <v>252</v>
      </c>
    </row>
    <row r="48" spans="1:11">
      <c r="B48" s="3" t="s">
        <v>23</v>
      </c>
      <c r="E48" s="3">
        <v>12</v>
      </c>
      <c r="G48" s="3" t="s">
        <v>24</v>
      </c>
    </row>
    <row r="49" spans="2:12">
      <c r="B49" s="3" t="s">
        <v>211</v>
      </c>
      <c r="E49" s="4">
        <v>0.1</v>
      </c>
      <c r="F49" s="4"/>
      <c r="G49" s="3" t="s">
        <v>212</v>
      </c>
    </row>
    <row r="50" spans="2:12" s="3" customFormat="1">
      <c r="B50" s="3" t="s">
        <v>254</v>
      </c>
      <c r="D50" s="95"/>
      <c r="E50" s="3">
        <v>3</v>
      </c>
      <c r="J50" s="95"/>
      <c r="K50" s="108"/>
      <c r="L50" s="108"/>
    </row>
    <row r="51" spans="2:12" ht="30.6" customHeight="1">
      <c r="B51" s="302" t="s">
        <v>277</v>
      </c>
      <c r="C51" s="302"/>
      <c r="D51" s="302"/>
      <c r="E51" s="302"/>
      <c r="F51" s="302"/>
      <c r="G51" s="302"/>
    </row>
    <row r="53" spans="2:12">
      <c r="B53" s="204"/>
    </row>
    <row r="54" spans="2:12">
      <c r="B54" s="204"/>
    </row>
    <row r="55" spans="2:12">
      <c r="B55" s="204"/>
    </row>
    <row r="56" spans="2:12">
      <c r="B56" s="204"/>
    </row>
    <row r="57" spans="2:12">
      <c r="B57" s="204"/>
    </row>
    <row r="58" spans="2:12">
      <c r="B58" s="204"/>
    </row>
    <row r="59" spans="2:12">
      <c r="B59" s="204"/>
    </row>
    <row r="61" spans="2:12">
      <c r="E61" s="95"/>
    </row>
  </sheetData>
  <mergeCells count="4">
    <mergeCell ref="A3:I3"/>
    <mergeCell ref="J6:J7"/>
    <mergeCell ref="B51:G51"/>
    <mergeCell ref="E6:I6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opLeftCell="A2" workbookViewId="0">
      <selection activeCell="G15" sqref="G15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13" style="3" bestFit="1" customWidth="1"/>
    <col min="4" max="4" width="12.7109375" style="95" bestFit="1" customWidth="1"/>
    <col min="5" max="7" width="12.7109375" style="3" bestFit="1" customWidth="1"/>
    <col min="8" max="8" width="13.28515625" style="3" customWidth="1"/>
    <col min="9" max="9" width="13.7109375" style="3" customWidth="1"/>
    <col min="10" max="10" width="11.5703125" style="95"/>
    <col min="11" max="11" width="10.7109375" style="108" bestFit="1" customWidth="1"/>
    <col min="12" max="12" width="20.140625" style="108" customWidth="1"/>
    <col min="13" max="254" width="11.5703125" style="108"/>
    <col min="255" max="255" width="7.85546875" style="108" customWidth="1"/>
    <col min="256" max="256" width="24.5703125" style="108" customWidth="1"/>
    <col min="257" max="257" width="3.7109375" style="108" customWidth="1"/>
    <col min="258" max="258" width="4.85546875" style="108" customWidth="1"/>
    <col min="259" max="259" width="0.85546875" style="108" customWidth="1"/>
    <col min="260" max="260" width="9" style="108" customWidth="1"/>
    <col min="261" max="261" width="10" style="108" customWidth="1"/>
    <col min="262" max="262" width="0.85546875" style="108" customWidth="1"/>
    <col min="263" max="263" width="12.42578125" style="108" customWidth="1"/>
    <col min="264" max="264" width="0.85546875" style="108" customWidth="1"/>
    <col min="265" max="265" width="13.7109375" style="108" customWidth="1"/>
    <col min="266" max="510" width="11.5703125" style="108"/>
    <col min="511" max="511" width="7.85546875" style="108" customWidth="1"/>
    <col min="512" max="512" width="24.5703125" style="108" customWidth="1"/>
    <col min="513" max="513" width="3.7109375" style="108" customWidth="1"/>
    <col min="514" max="514" width="4.85546875" style="108" customWidth="1"/>
    <col min="515" max="515" width="0.85546875" style="108" customWidth="1"/>
    <col min="516" max="516" width="9" style="108" customWidth="1"/>
    <col min="517" max="517" width="10" style="108" customWidth="1"/>
    <col min="518" max="518" width="0.85546875" style="108" customWidth="1"/>
    <col min="519" max="519" width="12.42578125" style="108" customWidth="1"/>
    <col min="520" max="520" width="0.85546875" style="108" customWidth="1"/>
    <col min="521" max="521" width="13.7109375" style="108" customWidth="1"/>
    <col min="522" max="766" width="11.5703125" style="108"/>
    <col min="767" max="767" width="7.85546875" style="108" customWidth="1"/>
    <col min="768" max="768" width="24.5703125" style="108" customWidth="1"/>
    <col min="769" max="769" width="3.7109375" style="108" customWidth="1"/>
    <col min="770" max="770" width="4.85546875" style="108" customWidth="1"/>
    <col min="771" max="771" width="0.85546875" style="108" customWidth="1"/>
    <col min="772" max="772" width="9" style="108" customWidth="1"/>
    <col min="773" max="773" width="10" style="108" customWidth="1"/>
    <col min="774" max="774" width="0.85546875" style="108" customWidth="1"/>
    <col min="775" max="775" width="12.42578125" style="108" customWidth="1"/>
    <col min="776" max="776" width="0.85546875" style="108" customWidth="1"/>
    <col min="777" max="777" width="13.7109375" style="108" customWidth="1"/>
    <col min="778" max="1022" width="11.5703125" style="108"/>
    <col min="1023" max="1023" width="7.85546875" style="108" customWidth="1"/>
    <col min="1024" max="1024" width="24.5703125" style="108" customWidth="1"/>
    <col min="1025" max="1025" width="3.7109375" style="108" customWidth="1"/>
    <col min="1026" max="1026" width="4.85546875" style="108" customWidth="1"/>
    <col min="1027" max="1027" width="0.85546875" style="108" customWidth="1"/>
    <col min="1028" max="1028" width="9" style="108" customWidth="1"/>
    <col min="1029" max="1029" width="10" style="108" customWidth="1"/>
    <col min="1030" max="1030" width="0.85546875" style="108" customWidth="1"/>
    <col min="1031" max="1031" width="12.42578125" style="108" customWidth="1"/>
    <col min="1032" max="1032" width="0.85546875" style="108" customWidth="1"/>
    <col min="1033" max="1033" width="13.7109375" style="108" customWidth="1"/>
    <col min="1034" max="1278" width="11.5703125" style="108"/>
    <col min="1279" max="1279" width="7.85546875" style="108" customWidth="1"/>
    <col min="1280" max="1280" width="24.5703125" style="108" customWidth="1"/>
    <col min="1281" max="1281" width="3.7109375" style="108" customWidth="1"/>
    <col min="1282" max="1282" width="4.85546875" style="108" customWidth="1"/>
    <col min="1283" max="1283" width="0.85546875" style="108" customWidth="1"/>
    <col min="1284" max="1284" width="9" style="108" customWidth="1"/>
    <col min="1285" max="1285" width="10" style="108" customWidth="1"/>
    <col min="1286" max="1286" width="0.85546875" style="108" customWidth="1"/>
    <col min="1287" max="1287" width="12.42578125" style="108" customWidth="1"/>
    <col min="1288" max="1288" width="0.85546875" style="108" customWidth="1"/>
    <col min="1289" max="1289" width="13.7109375" style="108" customWidth="1"/>
    <col min="1290" max="1534" width="11.5703125" style="108"/>
    <col min="1535" max="1535" width="7.85546875" style="108" customWidth="1"/>
    <col min="1536" max="1536" width="24.5703125" style="108" customWidth="1"/>
    <col min="1537" max="1537" width="3.7109375" style="108" customWidth="1"/>
    <col min="1538" max="1538" width="4.85546875" style="108" customWidth="1"/>
    <col min="1539" max="1539" width="0.85546875" style="108" customWidth="1"/>
    <col min="1540" max="1540" width="9" style="108" customWidth="1"/>
    <col min="1541" max="1541" width="10" style="108" customWidth="1"/>
    <col min="1542" max="1542" width="0.85546875" style="108" customWidth="1"/>
    <col min="1543" max="1543" width="12.42578125" style="108" customWidth="1"/>
    <col min="1544" max="1544" width="0.85546875" style="108" customWidth="1"/>
    <col min="1545" max="1545" width="13.7109375" style="108" customWidth="1"/>
    <col min="1546" max="1790" width="11.5703125" style="108"/>
    <col min="1791" max="1791" width="7.85546875" style="108" customWidth="1"/>
    <col min="1792" max="1792" width="24.5703125" style="108" customWidth="1"/>
    <col min="1793" max="1793" width="3.7109375" style="108" customWidth="1"/>
    <col min="1794" max="1794" width="4.85546875" style="108" customWidth="1"/>
    <col min="1795" max="1795" width="0.85546875" style="108" customWidth="1"/>
    <col min="1796" max="1796" width="9" style="108" customWidth="1"/>
    <col min="1797" max="1797" width="10" style="108" customWidth="1"/>
    <col min="1798" max="1798" width="0.85546875" style="108" customWidth="1"/>
    <col min="1799" max="1799" width="12.42578125" style="108" customWidth="1"/>
    <col min="1800" max="1800" width="0.85546875" style="108" customWidth="1"/>
    <col min="1801" max="1801" width="13.7109375" style="108" customWidth="1"/>
    <col min="1802" max="2046" width="11.5703125" style="108"/>
    <col min="2047" max="2047" width="7.85546875" style="108" customWidth="1"/>
    <col min="2048" max="2048" width="24.5703125" style="108" customWidth="1"/>
    <col min="2049" max="2049" width="3.7109375" style="108" customWidth="1"/>
    <col min="2050" max="2050" width="4.85546875" style="108" customWidth="1"/>
    <col min="2051" max="2051" width="0.85546875" style="108" customWidth="1"/>
    <col min="2052" max="2052" width="9" style="108" customWidth="1"/>
    <col min="2053" max="2053" width="10" style="108" customWidth="1"/>
    <col min="2054" max="2054" width="0.85546875" style="108" customWidth="1"/>
    <col min="2055" max="2055" width="12.42578125" style="108" customWidth="1"/>
    <col min="2056" max="2056" width="0.85546875" style="108" customWidth="1"/>
    <col min="2057" max="2057" width="13.7109375" style="108" customWidth="1"/>
    <col min="2058" max="2302" width="11.5703125" style="108"/>
    <col min="2303" max="2303" width="7.85546875" style="108" customWidth="1"/>
    <col min="2304" max="2304" width="24.5703125" style="108" customWidth="1"/>
    <col min="2305" max="2305" width="3.7109375" style="108" customWidth="1"/>
    <col min="2306" max="2306" width="4.85546875" style="108" customWidth="1"/>
    <col min="2307" max="2307" width="0.85546875" style="108" customWidth="1"/>
    <col min="2308" max="2308" width="9" style="108" customWidth="1"/>
    <col min="2309" max="2309" width="10" style="108" customWidth="1"/>
    <col min="2310" max="2310" width="0.85546875" style="108" customWidth="1"/>
    <col min="2311" max="2311" width="12.42578125" style="108" customWidth="1"/>
    <col min="2312" max="2312" width="0.85546875" style="108" customWidth="1"/>
    <col min="2313" max="2313" width="13.7109375" style="108" customWidth="1"/>
    <col min="2314" max="2558" width="11.5703125" style="108"/>
    <col min="2559" max="2559" width="7.85546875" style="108" customWidth="1"/>
    <col min="2560" max="2560" width="24.5703125" style="108" customWidth="1"/>
    <col min="2561" max="2561" width="3.7109375" style="108" customWidth="1"/>
    <col min="2562" max="2562" width="4.85546875" style="108" customWidth="1"/>
    <col min="2563" max="2563" width="0.85546875" style="108" customWidth="1"/>
    <col min="2564" max="2564" width="9" style="108" customWidth="1"/>
    <col min="2565" max="2565" width="10" style="108" customWidth="1"/>
    <col min="2566" max="2566" width="0.85546875" style="108" customWidth="1"/>
    <col min="2567" max="2567" width="12.42578125" style="108" customWidth="1"/>
    <col min="2568" max="2568" width="0.85546875" style="108" customWidth="1"/>
    <col min="2569" max="2569" width="13.7109375" style="108" customWidth="1"/>
    <col min="2570" max="2814" width="11.5703125" style="108"/>
    <col min="2815" max="2815" width="7.85546875" style="108" customWidth="1"/>
    <col min="2816" max="2816" width="24.5703125" style="108" customWidth="1"/>
    <col min="2817" max="2817" width="3.7109375" style="108" customWidth="1"/>
    <col min="2818" max="2818" width="4.85546875" style="108" customWidth="1"/>
    <col min="2819" max="2819" width="0.85546875" style="108" customWidth="1"/>
    <col min="2820" max="2820" width="9" style="108" customWidth="1"/>
    <col min="2821" max="2821" width="10" style="108" customWidth="1"/>
    <col min="2822" max="2822" width="0.85546875" style="108" customWidth="1"/>
    <col min="2823" max="2823" width="12.42578125" style="108" customWidth="1"/>
    <col min="2824" max="2824" width="0.85546875" style="108" customWidth="1"/>
    <col min="2825" max="2825" width="13.7109375" style="108" customWidth="1"/>
    <col min="2826" max="3070" width="11.5703125" style="108"/>
    <col min="3071" max="3071" width="7.85546875" style="108" customWidth="1"/>
    <col min="3072" max="3072" width="24.5703125" style="108" customWidth="1"/>
    <col min="3073" max="3073" width="3.7109375" style="108" customWidth="1"/>
    <col min="3074" max="3074" width="4.85546875" style="108" customWidth="1"/>
    <col min="3075" max="3075" width="0.85546875" style="108" customWidth="1"/>
    <col min="3076" max="3076" width="9" style="108" customWidth="1"/>
    <col min="3077" max="3077" width="10" style="108" customWidth="1"/>
    <col min="3078" max="3078" width="0.85546875" style="108" customWidth="1"/>
    <col min="3079" max="3079" width="12.42578125" style="108" customWidth="1"/>
    <col min="3080" max="3080" width="0.85546875" style="108" customWidth="1"/>
    <col min="3081" max="3081" width="13.7109375" style="108" customWidth="1"/>
    <col min="3082" max="3326" width="11.5703125" style="108"/>
    <col min="3327" max="3327" width="7.85546875" style="108" customWidth="1"/>
    <col min="3328" max="3328" width="24.5703125" style="108" customWidth="1"/>
    <col min="3329" max="3329" width="3.7109375" style="108" customWidth="1"/>
    <col min="3330" max="3330" width="4.85546875" style="108" customWidth="1"/>
    <col min="3331" max="3331" width="0.85546875" style="108" customWidth="1"/>
    <col min="3332" max="3332" width="9" style="108" customWidth="1"/>
    <col min="3333" max="3333" width="10" style="108" customWidth="1"/>
    <col min="3334" max="3334" width="0.85546875" style="108" customWidth="1"/>
    <col min="3335" max="3335" width="12.42578125" style="108" customWidth="1"/>
    <col min="3336" max="3336" width="0.85546875" style="108" customWidth="1"/>
    <col min="3337" max="3337" width="13.7109375" style="108" customWidth="1"/>
    <col min="3338" max="3582" width="11.5703125" style="108"/>
    <col min="3583" max="3583" width="7.85546875" style="108" customWidth="1"/>
    <col min="3584" max="3584" width="24.5703125" style="108" customWidth="1"/>
    <col min="3585" max="3585" width="3.7109375" style="108" customWidth="1"/>
    <col min="3586" max="3586" width="4.85546875" style="108" customWidth="1"/>
    <col min="3587" max="3587" width="0.85546875" style="108" customWidth="1"/>
    <col min="3588" max="3588" width="9" style="108" customWidth="1"/>
    <col min="3589" max="3589" width="10" style="108" customWidth="1"/>
    <col min="3590" max="3590" width="0.85546875" style="108" customWidth="1"/>
    <col min="3591" max="3591" width="12.42578125" style="108" customWidth="1"/>
    <col min="3592" max="3592" width="0.85546875" style="108" customWidth="1"/>
    <col min="3593" max="3593" width="13.7109375" style="108" customWidth="1"/>
    <col min="3594" max="3838" width="11.5703125" style="108"/>
    <col min="3839" max="3839" width="7.85546875" style="108" customWidth="1"/>
    <col min="3840" max="3840" width="24.5703125" style="108" customWidth="1"/>
    <col min="3841" max="3841" width="3.7109375" style="108" customWidth="1"/>
    <col min="3842" max="3842" width="4.85546875" style="108" customWidth="1"/>
    <col min="3843" max="3843" width="0.85546875" style="108" customWidth="1"/>
    <col min="3844" max="3844" width="9" style="108" customWidth="1"/>
    <col min="3845" max="3845" width="10" style="108" customWidth="1"/>
    <col min="3846" max="3846" width="0.85546875" style="108" customWidth="1"/>
    <col min="3847" max="3847" width="12.42578125" style="108" customWidth="1"/>
    <col min="3848" max="3848" width="0.85546875" style="108" customWidth="1"/>
    <col min="3849" max="3849" width="13.7109375" style="108" customWidth="1"/>
    <col min="3850" max="4094" width="11.5703125" style="108"/>
    <col min="4095" max="4095" width="7.85546875" style="108" customWidth="1"/>
    <col min="4096" max="4096" width="24.5703125" style="108" customWidth="1"/>
    <col min="4097" max="4097" width="3.7109375" style="108" customWidth="1"/>
    <col min="4098" max="4098" width="4.85546875" style="108" customWidth="1"/>
    <col min="4099" max="4099" width="0.85546875" style="108" customWidth="1"/>
    <col min="4100" max="4100" width="9" style="108" customWidth="1"/>
    <col min="4101" max="4101" width="10" style="108" customWidth="1"/>
    <col min="4102" max="4102" width="0.85546875" style="108" customWidth="1"/>
    <col min="4103" max="4103" width="12.42578125" style="108" customWidth="1"/>
    <col min="4104" max="4104" width="0.85546875" style="108" customWidth="1"/>
    <col min="4105" max="4105" width="13.7109375" style="108" customWidth="1"/>
    <col min="4106" max="4350" width="11.5703125" style="108"/>
    <col min="4351" max="4351" width="7.85546875" style="108" customWidth="1"/>
    <col min="4352" max="4352" width="24.5703125" style="108" customWidth="1"/>
    <col min="4353" max="4353" width="3.7109375" style="108" customWidth="1"/>
    <col min="4354" max="4354" width="4.85546875" style="108" customWidth="1"/>
    <col min="4355" max="4355" width="0.85546875" style="108" customWidth="1"/>
    <col min="4356" max="4356" width="9" style="108" customWidth="1"/>
    <col min="4357" max="4357" width="10" style="108" customWidth="1"/>
    <col min="4358" max="4358" width="0.85546875" style="108" customWidth="1"/>
    <col min="4359" max="4359" width="12.42578125" style="108" customWidth="1"/>
    <col min="4360" max="4360" width="0.85546875" style="108" customWidth="1"/>
    <col min="4361" max="4361" width="13.7109375" style="108" customWidth="1"/>
    <col min="4362" max="4606" width="11.5703125" style="108"/>
    <col min="4607" max="4607" width="7.85546875" style="108" customWidth="1"/>
    <col min="4608" max="4608" width="24.5703125" style="108" customWidth="1"/>
    <col min="4609" max="4609" width="3.7109375" style="108" customWidth="1"/>
    <col min="4610" max="4610" width="4.85546875" style="108" customWidth="1"/>
    <col min="4611" max="4611" width="0.85546875" style="108" customWidth="1"/>
    <col min="4612" max="4612" width="9" style="108" customWidth="1"/>
    <col min="4613" max="4613" width="10" style="108" customWidth="1"/>
    <col min="4614" max="4614" width="0.85546875" style="108" customWidth="1"/>
    <col min="4615" max="4615" width="12.42578125" style="108" customWidth="1"/>
    <col min="4616" max="4616" width="0.85546875" style="108" customWidth="1"/>
    <col min="4617" max="4617" width="13.7109375" style="108" customWidth="1"/>
    <col min="4618" max="4862" width="11.5703125" style="108"/>
    <col min="4863" max="4863" width="7.85546875" style="108" customWidth="1"/>
    <col min="4864" max="4864" width="24.5703125" style="108" customWidth="1"/>
    <col min="4865" max="4865" width="3.7109375" style="108" customWidth="1"/>
    <col min="4866" max="4866" width="4.85546875" style="108" customWidth="1"/>
    <col min="4867" max="4867" width="0.85546875" style="108" customWidth="1"/>
    <col min="4868" max="4868" width="9" style="108" customWidth="1"/>
    <col min="4869" max="4869" width="10" style="108" customWidth="1"/>
    <col min="4870" max="4870" width="0.85546875" style="108" customWidth="1"/>
    <col min="4871" max="4871" width="12.42578125" style="108" customWidth="1"/>
    <col min="4872" max="4872" width="0.85546875" style="108" customWidth="1"/>
    <col min="4873" max="4873" width="13.7109375" style="108" customWidth="1"/>
    <col min="4874" max="5118" width="11.5703125" style="108"/>
    <col min="5119" max="5119" width="7.85546875" style="108" customWidth="1"/>
    <col min="5120" max="5120" width="24.5703125" style="108" customWidth="1"/>
    <col min="5121" max="5121" width="3.7109375" style="108" customWidth="1"/>
    <col min="5122" max="5122" width="4.85546875" style="108" customWidth="1"/>
    <col min="5123" max="5123" width="0.85546875" style="108" customWidth="1"/>
    <col min="5124" max="5124" width="9" style="108" customWidth="1"/>
    <col min="5125" max="5125" width="10" style="108" customWidth="1"/>
    <col min="5126" max="5126" width="0.85546875" style="108" customWidth="1"/>
    <col min="5127" max="5127" width="12.42578125" style="108" customWidth="1"/>
    <col min="5128" max="5128" width="0.85546875" style="108" customWidth="1"/>
    <col min="5129" max="5129" width="13.7109375" style="108" customWidth="1"/>
    <col min="5130" max="5374" width="11.5703125" style="108"/>
    <col min="5375" max="5375" width="7.85546875" style="108" customWidth="1"/>
    <col min="5376" max="5376" width="24.5703125" style="108" customWidth="1"/>
    <col min="5377" max="5377" width="3.7109375" style="108" customWidth="1"/>
    <col min="5378" max="5378" width="4.85546875" style="108" customWidth="1"/>
    <col min="5379" max="5379" width="0.85546875" style="108" customWidth="1"/>
    <col min="5380" max="5380" width="9" style="108" customWidth="1"/>
    <col min="5381" max="5381" width="10" style="108" customWidth="1"/>
    <col min="5382" max="5382" width="0.85546875" style="108" customWidth="1"/>
    <col min="5383" max="5383" width="12.42578125" style="108" customWidth="1"/>
    <col min="5384" max="5384" width="0.85546875" style="108" customWidth="1"/>
    <col min="5385" max="5385" width="13.7109375" style="108" customWidth="1"/>
    <col min="5386" max="5630" width="11.5703125" style="108"/>
    <col min="5631" max="5631" width="7.85546875" style="108" customWidth="1"/>
    <col min="5632" max="5632" width="24.5703125" style="108" customWidth="1"/>
    <col min="5633" max="5633" width="3.7109375" style="108" customWidth="1"/>
    <col min="5634" max="5634" width="4.85546875" style="108" customWidth="1"/>
    <col min="5635" max="5635" width="0.85546875" style="108" customWidth="1"/>
    <col min="5636" max="5636" width="9" style="108" customWidth="1"/>
    <col min="5637" max="5637" width="10" style="108" customWidth="1"/>
    <col min="5638" max="5638" width="0.85546875" style="108" customWidth="1"/>
    <col min="5639" max="5639" width="12.42578125" style="108" customWidth="1"/>
    <col min="5640" max="5640" width="0.85546875" style="108" customWidth="1"/>
    <col min="5641" max="5641" width="13.7109375" style="108" customWidth="1"/>
    <col min="5642" max="5886" width="11.5703125" style="108"/>
    <col min="5887" max="5887" width="7.85546875" style="108" customWidth="1"/>
    <col min="5888" max="5888" width="24.5703125" style="108" customWidth="1"/>
    <col min="5889" max="5889" width="3.7109375" style="108" customWidth="1"/>
    <col min="5890" max="5890" width="4.85546875" style="108" customWidth="1"/>
    <col min="5891" max="5891" width="0.85546875" style="108" customWidth="1"/>
    <col min="5892" max="5892" width="9" style="108" customWidth="1"/>
    <col min="5893" max="5893" width="10" style="108" customWidth="1"/>
    <col min="5894" max="5894" width="0.85546875" style="108" customWidth="1"/>
    <col min="5895" max="5895" width="12.42578125" style="108" customWidth="1"/>
    <col min="5896" max="5896" width="0.85546875" style="108" customWidth="1"/>
    <col min="5897" max="5897" width="13.7109375" style="108" customWidth="1"/>
    <col min="5898" max="6142" width="11.5703125" style="108"/>
    <col min="6143" max="6143" width="7.85546875" style="108" customWidth="1"/>
    <col min="6144" max="6144" width="24.5703125" style="108" customWidth="1"/>
    <col min="6145" max="6145" width="3.7109375" style="108" customWidth="1"/>
    <col min="6146" max="6146" width="4.85546875" style="108" customWidth="1"/>
    <col min="6147" max="6147" width="0.85546875" style="108" customWidth="1"/>
    <col min="6148" max="6148" width="9" style="108" customWidth="1"/>
    <col min="6149" max="6149" width="10" style="108" customWidth="1"/>
    <col min="6150" max="6150" width="0.85546875" style="108" customWidth="1"/>
    <col min="6151" max="6151" width="12.42578125" style="108" customWidth="1"/>
    <col min="6152" max="6152" width="0.85546875" style="108" customWidth="1"/>
    <col min="6153" max="6153" width="13.7109375" style="108" customWidth="1"/>
    <col min="6154" max="6398" width="11.5703125" style="108"/>
    <col min="6399" max="6399" width="7.85546875" style="108" customWidth="1"/>
    <col min="6400" max="6400" width="24.5703125" style="108" customWidth="1"/>
    <col min="6401" max="6401" width="3.7109375" style="108" customWidth="1"/>
    <col min="6402" max="6402" width="4.85546875" style="108" customWidth="1"/>
    <col min="6403" max="6403" width="0.85546875" style="108" customWidth="1"/>
    <col min="6404" max="6404" width="9" style="108" customWidth="1"/>
    <col min="6405" max="6405" width="10" style="108" customWidth="1"/>
    <col min="6406" max="6406" width="0.85546875" style="108" customWidth="1"/>
    <col min="6407" max="6407" width="12.42578125" style="108" customWidth="1"/>
    <col min="6408" max="6408" width="0.85546875" style="108" customWidth="1"/>
    <col min="6409" max="6409" width="13.7109375" style="108" customWidth="1"/>
    <col min="6410" max="6654" width="11.5703125" style="108"/>
    <col min="6655" max="6655" width="7.85546875" style="108" customWidth="1"/>
    <col min="6656" max="6656" width="24.5703125" style="108" customWidth="1"/>
    <col min="6657" max="6657" width="3.7109375" style="108" customWidth="1"/>
    <col min="6658" max="6658" width="4.85546875" style="108" customWidth="1"/>
    <col min="6659" max="6659" width="0.85546875" style="108" customWidth="1"/>
    <col min="6660" max="6660" width="9" style="108" customWidth="1"/>
    <col min="6661" max="6661" width="10" style="108" customWidth="1"/>
    <col min="6662" max="6662" width="0.85546875" style="108" customWidth="1"/>
    <col min="6663" max="6663" width="12.42578125" style="108" customWidth="1"/>
    <col min="6664" max="6664" width="0.85546875" style="108" customWidth="1"/>
    <col min="6665" max="6665" width="13.7109375" style="108" customWidth="1"/>
    <col min="6666" max="6910" width="11.5703125" style="108"/>
    <col min="6911" max="6911" width="7.85546875" style="108" customWidth="1"/>
    <col min="6912" max="6912" width="24.5703125" style="108" customWidth="1"/>
    <col min="6913" max="6913" width="3.7109375" style="108" customWidth="1"/>
    <col min="6914" max="6914" width="4.85546875" style="108" customWidth="1"/>
    <col min="6915" max="6915" width="0.85546875" style="108" customWidth="1"/>
    <col min="6916" max="6916" width="9" style="108" customWidth="1"/>
    <col min="6917" max="6917" width="10" style="108" customWidth="1"/>
    <col min="6918" max="6918" width="0.85546875" style="108" customWidth="1"/>
    <col min="6919" max="6919" width="12.42578125" style="108" customWidth="1"/>
    <col min="6920" max="6920" width="0.85546875" style="108" customWidth="1"/>
    <col min="6921" max="6921" width="13.7109375" style="108" customWidth="1"/>
    <col min="6922" max="7166" width="11.5703125" style="108"/>
    <col min="7167" max="7167" width="7.85546875" style="108" customWidth="1"/>
    <col min="7168" max="7168" width="24.5703125" style="108" customWidth="1"/>
    <col min="7169" max="7169" width="3.7109375" style="108" customWidth="1"/>
    <col min="7170" max="7170" width="4.85546875" style="108" customWidth="1"/>
    <col min="7171" max="7171" width="0.85546875" style="108" customWidth="1"/>
    <col min="7172" max="7172" width="9" style="108" customWidth="1"/>
    <col min="7173" max="7173" width="10" style="108" customWidth="1"/>
    <col min="7174" max="7174" width="0.85546875" style="108" customWidth="1"/>
    <col min="7175" max="7175" width="12.42578125" style="108" customWidth="1"/>
    <col min="7176" max="7176" width="0.85546875" style="108" customWidth="1"/>
    <col min="7177" max="7177" width="13.7109375" style="108" customWidth="1"/>
    <col min="7178" max="7422" width="11.5703125" style="108"/>
    <col min="7423" max="7423" width="7.85546875" style="108" customWidth="1"/>
    <col min="7424" max="7424" width="24.5703125" style="108" customWidth="1"/>
    <col min="7425" max="7425" width="3.7109375" style="108" customWidth="1"/>
    <col min="7426" max="7426" width="4.85546875" style="108" customWidth="1"/>
    <col min="7427" max="7427" width="0.85546875" style="108" customWidth="1"/>
    <col min="7428" max="7428" width="9" style="108" customWidth="1"/>
    <col min="7429" max="7429" width="10" style="108" customWidth="1"/>
    <col min="7430" max="7430" width="0.85546875" style="108" customWidth="1"/>
    <col min="7431" max="7431" width="12.42578125" style="108" customWidth="1"/>
    <col min="7432" max="7432" width="0.85546875" style="108" customWidth="1"/>
    <col min="7433" max="7433" width="13.7109375" style="108" customWidth="1"/>
    <col min="7434" max="7678" width="11.5703125" style="108"/>
    <col min="7679" max="7679" width="7.85546875" style="108" customWidth="1"/>
    <col min="7680" max="7680" width="24.5703125" style="108" customWidth="1"/>
    <col min="7681" max="7681" width="3.7109375" style="108" customWidth="1"/>
    <col min="7682" max="7682" width="4.85546875" style="108" customWidth="1"/>
    <col min="7683" max="7683" width="0.85546875" style="108" customWidth="1"/>
    <col min="7684" max="7684" width="9" style="108" customWidth="1"/>
    <col min="7685" max="7685" width="10" style="108" customWidth="1"/>
    <col min="7686" max="7686" width="0.85546875" style="108" customWidth="1"/>
    <col min="7687" max="7687" width="12.42578125" style="108" customWidth="1"/>
    <col min="7688" max="7688" width="0.85546875" style="108" customWidth="1"/>
    <col min="7689" max="7689" width="13.7109375" style="108" customWidth="1"/>
    <col min="7690" max="7934" width="11.5703125" style="108"/>
    <col min="7935" max="7935" width="7.85546875" style="108" customWidth="1"/>
    <col min="7936" max="7936" width="24.5703125" style="108" customWidth="1"/>
    <col min="7937" max="7937" width="3.7109375" style="108" customWidth="1"/>
    <col min="7938" max="7938" width="4.85546875" style="108" customWidth="1"/>
    <col min="7939" max="7939" width="0.85546875" style="108" customWidth="1"/>
    <col min="7940" max="7940" width="9" style="108" customWidth="1"/>
    <col min="7941" max="7941" width="10" style="108" customWidth="1"/>
    <col min="7942" max="7942" width="0.85546875" style="108" customWidth="1"/>
    <col min="7943" max="7943" width="12.42578125" style="108" customWidth="1"/>
    <col min="7944" max="7944" width="0.85546875" style="108" customWidth="1"/>
    <col min="7945" max="7945" width="13.7109375" style="108" customWidth="1"/>
    <col min="7946" max="8190" width="11.5703125" style="108"/>
    <col min="8191" max="8191" width="7.85546875" style="108" customWidth="1"/>
    <col min="8192" max="8192" width="24.5703125" style="108" customWidth="1"/>
    <col min="8193" max="8193" width="3.7109375" style="108" customWidth="1"/>
    <col min="8194" max="8194" width="4.85546875" style="108" customWidth="1"/>
    <col min="8195" max="8195" width="0.85546875" style="108" customWidth="1"/>
    <col min="8196" max="8196" width="9" style="108" customWidth="1"/>
    <col min="8197" max="8197" width="10" style="108" customWidth="1"/>
    <col min="8198" max="8198" width="0.85546875" style="108" customWidth="1"/>
    <col min="8199" max="8199" width="12.42578125" style="108" customWidth="1"/>
    <col min="8200" max="8200" width="0.85546875" style="108" customWidth="1"/>
    <col min="8201" max="8201" width="13.7109375" style="108" customWidth="1"/>
    <col min="8202" max="8446" width="11.5703125" style="108"/>
    <col min="8447" max="8447" width="7.85546875" style="108" customWidth="1"/>
    <col min="8448" max="8448" width="24.5703125" style="108" customWidth="1"/>
    <col min="8449" max="8449" width="3.7109375" style="108" customWidth="1"/>
    <col min="8450" max="8450" width="4.85546875" style="108" customWidth="1"/>
    <col min="8451" max="8451" width="0.85546875" style="108" customWidth="1"/>
    <col min="8452" max="8452" width="9" style="108" customWidth="1"/>
    <col min="8453" max="8453" width="10" style="108" customWidth="1"/>
    <col min="8454" max="8454" width="0.85546875" style="108" customWidth="1"/>
    <col min="8455" max="8455" width="12.42578125" style="108" customWidth="1"/>
    <col min="8456" max="8456" width="0.85546875" style="108" customWidth="1"/>
    <col min="8457" max="8457" width="13.7109375" style="108" customWidth="1"/>
    <col min="8458" max="8702" width="11.5703125" style="108"/>
    <col min="8703" max="8703" width="7.85546875" style="108" customWidth="1"/>
    <col min="8704" max="8704" width="24.5703125" style="108" customWidth="1"/>
    <col min="8705" max="8705" width="3.7109375" style="108" customWidth="1"/>
    <col min="8706" max="8706" width="4.85546875" style="108" customWidth="1"/>
    <col min="8707" max="8707" width="0.85546875" style="108" customWidth="1"/>
    <col min="8708" max="8708" width="9" style="108" customWidth="1"/>
    <col min="8709" max="8709" width="10" style="108" customWidth="1"/>
    <col min="8710" max="8710" width="0.85546875" style="108" customWidth="1"/>
    <col min="8711" max="8711" width="12.42578125" style="108" customWidth="1"/>
    <col min="8712" max="8712" width="0.85546875" style="108" customWidth="1"/>
    <col min="8713" max="8713" width="13.7109375" style="108" customWidth="1"/>
    <col min="8714" max="8958" width="11.5703125" style="108"/>
    <col min="8959" max="8959" width="7.85546875" style="108" customWidth="1"/>
    <col min="8960" max="8960" width="24.5703125" style="108" customWidth="1"/>
    <col min="8961" max="8961" width="3.7109375" style="108" customWidth="1"/>
    <col min="8962" max="8962" width="4.85546875" style="108" customWidth="1"/>
    <col min="8963" max="8963" width="0.85546875" style="108" customWidth="1"/>
    <col min="8964" max="8964" width="9" style="108" customWidth="1"/>
    <col min="8965" max="8965" width="10" style="108" customWidth="1"/>
    <col min="8966" max="8966" width="0.85546875" style="108" customWidth="1"/>
    <col min="8967" max="8967" width="12.42578125" style="108" customWidth="1"/>
    <col min="8968" max="8968" width="0.85546875" style="108" customWidth="1"/>
    <col min="8969" max="8969" width="13.7109375" style="108" customWidth="1"/>
    <col min="8970" max="9214" width="11.5703125" style="108"/>
    <col min="9215" max="9215" width="7.85546875" style="108" customWidth="1"/>
    <col min="9216" max="9216" width="24.5703125" style="108" customWidth="1"/>
    <col min="9217" max="9217" width="3.7109375" style="108" customWidth="1"/>
    <col min="9218" max="9218" width="4.85546875" style="108" customWidth="1"/>
    <col min="9219" max="9219" width="0.85546875" style="108" customWidth="1"/>
    <col min="9220" max="9220" width="9" style="108" customWidth="1"/>
    <col min="9221" max="9221" width="10" style="108" customWidth="1"/>
    <col min="9222" max="9222" width="0.85546875" style="108" customWidth="1"/>
    <col min="9223" max="9223" width="12.42578125" style="108" customWidth="1"/>
    <col min="9224" max="9224" width="0.85546875" style="108" customWidth="1"/>
    <col min="9225" max="9225" width="13.7109375" style="108" customWidth="1"/>
    <col min="9226" max="9470" width="11.5703125" style="108"/>
    <col min="9471" max="9471" width="7.85546875" style="108" customWidth="1"/>
    <col min="9472" max="9472" width="24.5703125" style="108" customWidth="1"/>
    <col min="9473" max="9473" width="3.7109375" style="108" customWidth="1"/>
    <col min="9474" max="9474" width="4.85546875" style="108" customWidth="1"/>
    <col min="9475" max="9475" width="0.85546875" style="108" customWidth="1"/>
    <col min="9476" max="9476" width="9" style="108" customWidth="1"/>
    <col min="9477" max="9477" width="10" style="108" customWidth="1"/>
    <col min="9478" max="9478" width="0.85546875" style="108" customWidth="1"/>
    <col min="9479" max="9479" width="12.42578125" style="108" customWidth="1"/>
    <col min="9480" max="9480" width="0.85546875" style="108" customWidth="1"/>
    <col min="9481" max="9481" width="13.7109375" style="108" customWidth="1"/>
    <col min="9482" max="9726" width="11.5703125" style="108"/>
    <col min="9727" max="9727" width="7.85546875" style="108" customWidth="1"/>
    <col min="9728" max="9728" width="24.5703125" style="108" customWidth="1"/>
    <col min="9729" max="9729" width="3.7109375" style="108" customWidth="1"/>
    <col min="9730" max="9730" width="4.85546875" style="108" customWidth="1"/>
    <col min="9731" max="9731" width="0.85546875" style="108" customWidth="1"/>
    <col min="9732" max="9732" width="9" style="108" customWidth="1"/>
    <col min="9733" max="9733" width="10" style="108" customWidth="1"/>
    <col min="9734" max="9734" width="0.85546875" style="108" customWidth="1"/>
    <col min="9735" max="9735" width="12.42578125" style="108" customWidth="1"/>
    <col min="9736" max="9736" width="0.85546875" style="108" customWidth="1"/>
    <col min="9737" max="9737" width="13.7109375" style="108" customWidth="1"/>
    <col min="9738" max="9982" width="11.5703125" style="108"/>
    <col min="9983" max="9983" width="7.85546875" style="108" customWidth="1"/>
    <col min="9984" max="9984" width="24.5703125" style="108" customWidth="1"/>
    <col min="9985" max="9985" width="3.7109375" style="108" customWidth="1"/>
    <col min="9986" max="9986" width="4.85546875" style="108" customWidth="1"/>
    <col min="9987" max="9987" width="0.85546875" style="108" customWidth="1"/>
    <col min="9988" max="9988" width="9" style="108" customWidth="1"/>
    <col min="9989" max="9989" width="10" style="108" customWidth="1"/>
    <col min="9990" max="9990" width="0.85546875" style="108" customWidth="1"/>
    <col min="9991" max="9991" width="12.42578125" style="108" customWidth="1"/>
    <col min="9992" max="9992" width="0.85546875" style="108" customWidth="1"/>
    <col min="9993" max="9993" width="13.7109375" style="108" customWidth="1"/>
    <col min="9994" max="10238" width="11.5703125" style="108"/>
    <col min="10239" max="10239" width="7.85546875" style="108" customWidth="1"/>
    <col min="10240" max="10240" width="24.5703125" style="108" customWidth="1"/>
    <col min="10241" max="10241" width="3.7109375" style="108" customWidth="1"/>
    <col min="10242" max="10242" width="4.85546875" style="108" customWidth="1"/>
    <col min="10243" max="10243" width="0.85546875" style="108" customWidth="1"/>
    <col min="10244" max="10244" width="9" style="108" customWidth="1"/>
    <col min="10245" max="10245" width="10" style="108" customWidth="1"/>
    <col min="10246" max="10246" width="0.85546875" style="108" customWidth="1"/>
    <col min="10247" max="10247" width="12.42578125" style="108" customWidth="1"/>
    <col min="10248" max="10248" width="0.85546875" style="108" customWidth="1"/>
    <col min="10249" max="10249" width="13.7109375" style="108" customWidth="1"/>
    <col min="10250" max="10494" width="11.5703125" style="108"/>
    <col min="10495" max="10495" width="7.85546875" style="108" customWidth="1"/>
    <col min="10496" max="10496" width="24.5703125" style="108" customWidth="1"/>
    <col min="10497" max="10497" width="3.7109375" style="108" customWidth="1"/>
    <col min="10498" max="10498" width="4.85546875" style="108" customWidth="1"/>
    <col min="10499" max="10499" width="0.85546875" style="108" customWidth="1"/>
    <col min="10500" max="10500" width="9" style="108" customWidth="1"/>
    <col min="10501" max="10501" width="10" style="108" customWidth="1"/>
    <col min="10502" max="10502" width="0.85546875" style="108" customWidth="1"/>
    <col min="10503" max="10503" width="12.42578125" style="108" customWidth="1"/>
    <col min="10504" max="10504" width="0.85546875" style="108" customWidth="1"/>
    <col min="10505" max="10505" width="13.7109375" style="108" customWidth="1"/>
    <col min="10506" max="10750" width="11.5703125" style="108"/>
    <col min="10751" max="10751" width="7.85546875" style="108" customWidth="1"/>
    <col min="10752" max="10752" width="24.5703125" style="108" customWidth="1"/>
    <col min="10753" max="10753" width="3.7109375" style="108" customWidth="1"/>
    <col min="10754" max="10754" width="4.85546875" style="108" customWidth="1"/>
    <col min="10755" max="10755" width="0.85546875" style="108" customWidth="1"/>
    <col min="10756" max="10756" width="9" style="108" customWidth="1"/>
    <col min="10757" max="10757" width="10" style="108" customWidth="1"/>
    <col min="10758" max="10758" width="0.85546875" style="108" customWidth="1"/>
    <col min="10759" max="10759" width="12.42578125" style="108" customWidth="1"/>
    <col min="10760" max="10760" width="0.85546875" style="108" customWidth="1"/>
    <col min="10761" max="10761" width="13.7109375" style="108" customWidth="1"/>
    <col min="10762" max="11006" width="11.5703125" style="108"/>
    <col min="11007" max="11007" width="7.85546875" style="108" customWidth="1"/>
    <col min="11008" max="11008" width="24.5703125" style="108" customWidth="1"/>
    <col min="11009" max="11009" width="3.7109375" style="108" customWidth="1"/>
    <col min="11010" max="11010" width="4.85546875" style="108" customWidth="1"/>
    <col min="11011" max="11011" width="0.85546875" style="108" customWidth="1"/>
    <col min="11012" max="11012" width="9" style="108" customWidth="1"/>
    <col min="11013" max="11013" width="10" style="108" customWidth="1"/>
    <col min="11014" max="11014" width="0.85546875" style="108" customWidth="1"/>
    <col min="11015" max="11015" width="12.42578125" style="108" customWidth="1"/>
    <col min="11016" max="11016" width="0.85546875" style="108" customWidth="1"/>
    <col min="11017" max="11017" width="13.7109375" style="108" customWidth="1"/>
    <col min="11018" max="11262" width="11.5703125" style="108"/>
    <col min="11263" max="11263" width="7.85546875" style="108" customWidth="1"/>
    <col min="11264" max="11264" width="24.5703125" style="108" customWidth="1"/>
    <col min="11265" max="11265" width="3.7109375" style="108" customWidth="1"/>
    <col min="11266" max="11266" width="4.85546875" style="108" customWidth="1"/>
    <col min="11267" max="11267" width="0.85546875" style="108" customWidth="1"/>
    <col min="11268" max="11268" width="9" style="108" customWidth="1"/>
    <col min="11269" max="11269" width="10" style="108" customWidth="1"/>
    <col min="11270" max="11270" width="0.85546875" style="108" customWidth="1"/>
    <col min="11271" max="11271" width="12.42578125" style="108" customWidth="1"/>
    <col min="11272" max="11272" width="0.85546875" style="108" customWidth="1"/>
    <col min="11273" max="11273" width="13.7109375" style="108" customWidth="1"/>
    <col min="11274" max="11518" width="11.5703125" style="108"/>
    <col min="11519" max="11519" width="7.85546875" style="108" customWidth="1"/>
    <col min="11520" max="11520" width="24.5703125" style="108" customWidth="1"/>
    <col min="11521" max="11521" width="3.7109375" style="108" customWidth="1"/>
    <col min="11522" max="11522" width="4.85546875" style="108" customWidth="1"/>
    <col min="11523" max="11523" width="0.85546875" style="108" customWidth="1"/>
    <col min="11524" max="11524" width="9" style="108" customWidth="1"/>
    <col min="11525" max="11525" width="10" style="108" customWidth="1"/>
    <col min="11526" max="11526" width="0.85546875" style="108" customWidth="1"/>
    <col min="11527" max="11527" width="12.42578125" style="108" customWidth="1"/>
    <col min="11528" max="11528" width="0.85546875" style="108" customWidth="1"/>
    <col min="11529" max="11529" width="13.7109375" style="108" customWidth="1"/>
    <col min="11530" max="11774" width="11.5703125" style="108"/>
    <col min="11775" max="11775" width="7.85546875" style="108" customWidth="1"/>
    <col min="11776" max="11776" width="24.5703125" style="108" customWidth="1"/>
    <col min="11777" max="11777" width="3.7109375" style="108" customWidth="1"/>
    <col min="11778" max="11778" width="4.85546875" style="108" customWidth="1"/>
    <col min="11779" max="11779" width="0.85546875" style="108" customWidth="1"/>
    <col min="11780" max="11780" width="9" style="108" customWidth="1"/>
    <col min="11781" max="11781" width="10" style="108" customWidth="1"/>
    <col min="11782" max="11782" width="0.85546875" style="108" customWidth="1"/>
    <col min="11783" max="11783" width="12.42578125" style="108" customWidth="1"/>
    <col min="11784" max="11784" width="0.85546875" style="108" customWidth="1"/>
    <col min="11785" max="11785" width="13.7109375" style="108" customWidth="1"/>
    <col min="11786" max="12030" width="11.5703125" style="108"/>
    <col min="12031" max="12031" width="7.85546875" style="108" customWidth="1"/>
    <col min="12032" max="12032" width="24.5703125" style="108" customWidth="1"/>
    <col min="12033" max="12033" width="3.7109375" style="108" customWidth="1"/>
    <col min="12034" max="12034" width="4.85546875" style="108" customWidth="1"/>
    <col min="12035" max="12035" width="0.85546875" style="108" customWidth="1"/>
    <col min="12036" max="12036" width="9" style="108" customWidth="1"/>
    <col min="12037" max="12037" width="10" style="108" customWidth="1"/>
    <col min="12038" max="12038" width="0.85546875" style="108" customWidth="1"/>
    <col min="12039" max="12039" width="12.42578125" style="108" customWidth="1"/>
    <col min="12040" max="12040" width="0.85546875" style="108" customWidth="1"/>
    <col min="12041" max="12041" width="13.7109375" style="108" customWidth="1"/>
    <col min="12042" max="12286" width="11.5703125" style="108"/>
    <col min="12287" max="12287" width="7.85546875" style="108" customWidth="1"/>
    <col min="12288" max="12288" width="24.5703125" style="108" customWidth="1"/>
    <col min="12289" max="12289" width="3.7109375" style="108" customWidth="1"/>
    <col min="12290" max="12290" width="4.85546875" style="108" customWidth="1"/>
    <col min="12291" max="12291" width="0.85546875" style="108" customWidth="1"/>
    <col min="12292" max="12292" width="9" style="108" customWidth="1"/>
    <col min="12293" max="12293" width="10" style="108" customWidth="1"/>
    <col min="12294" max="12294" width="0.85546875" style="108" customWidth="1"/>
    <col min="12295" max="12295" width="12.42578125" style="108" customWidth="1"/>
    <col min="12296" max="12296" width="0.85546875" style="108" customWidth="1"/>
    <col min="12297" max="12297" width="13.7109375" style="108" customWidth="1"/>
    <col min="12298" max="12542" width="11.5703125" style="108"/>
    <col min="12543" max="12543" width="7.85546875" style="108" customWidth="1"/>
    <col min="12544" max="12544" width="24.5703125" style="108" customWidth="1"/>
    <col min="12545" max="12545" width="3.7109375" style="108" customWidth="1"/>
    <col min="12546" max="12546" width="4.85546875" style="108" customWidth="1"/>
    <col min="12547" max="12547" width="0.85546875" style="108" customWidth="1"/>
    <col min="12548" max="12548" width="9" style="108" customWidth="1"/>
    <col min="12549" max="12549" width="10" style="108" customWidth="1"/>
    <col min="12550" max="12550" width="0.85546875" style="108" customWidth="1"/>
    <col min="12551" max="12551" width="12.42578125" style="108" customWidth="1"/>
    <col min="12552" max="12552" width="0.85546875" style="108" customWidth="1"/>
    <col min="12553" max="12553" width="13.7109375" style="108" customWidth="1"/>
    <col min="12554" max="12798" width="11.5703125" style="108"/>
    <col min="12799" max="12799" width="7.85546875" style="108" customWidth="1"/>
    <col min="12800" max="12800" width="24.5703125" style="108" customWidth="1"/>
    <col min="12801" max="12801" width="3.7109375" style="108" customWidth="1"/>
    <col min="12802" max="12802" width="4.85546875" style="108" customWidth="1"/>
    <col min="12803" max="12803" width="0.85546875" style="108" customWidth="1"/>
    <col min="12804" max="12804" width="9" style="108" customWidth="1"/>
    <col min="12805" max="12805" width="10" style="108" customWidth="1"/>
    <col min="12806" max="12806" width="0.85546875" style="108" customWidth="1"/>
    <col min="12807" max="12807" width="12.42578125" style="108" customWidth="1"/>
    <col min="12808" max="12808" width="0.85546875" style="108" customWidth="1"/>
    <col min="12809" max="12809" width="13.7109375" style="108" customWidth="1"/>
    <col min="12810" max="13054" width="11.5703125" style="108"/>
    <col min="13055" max="13055" width="7.85546875" style="108" customWidth="1"/>
    <col min="13056" max="13056" width="24.5703125" style="108" customWidth="1"/>
    <col min="13057" max="13057" width="3.7109375" style="108" customWidth="1"/>
    <col min="13058" max="13058" width="4.85546875" style="108" customWidth="1"/>
    <col min="13059" max="13059" width="0.85546875" style="108" customWidth="1"/>
    <col min="13060" max="13060" width="9" style="108" customWidth="1"/>
    <col min="13061" max="13061" width="10" style="108" customWidth="1"/>
    <col min="13062" max="13062" width="0.85546875" style="108" customWidth="1"/>
    <col min="13063" max="13063" width="12.42578125" style="108" customWidth="1"/>
    <col min="13064" max="13064" width="0.85546875" style="108" customWidth="1"/>
    <col min="13065" max="13065" width="13.7109375" style="108" customWidth="1"/>
    <col min="13066" max="13310" width="11.5703125" style="108"/>
    <col min="13311" max="13311" width="7.85546875" style="108" customWidth="1"/>
    <col min="13312" max="13312" width="24.5703125" style="108" customWidth="1"/>
    <col min="13313" max="13313" width="3.7109375" style="108" customWidth="1"/>
    <col min="13314" max="13314" width="4.85546875" style="108" customWidth="1"/>
    <col min="13315" max="13315" width="0.85546875" style="108" customWidth="1"/>
    <col min="13316" max="13316" width="9" style="108" customWidth="1"/>
    <col min="13317" max="13317" width="10" style="108" customWidth="1"/>
    <col min="13318" max="13318" width="0.85546875" style="108" customWidth="1"/>
    <col min="13319" max="13319" width="12.42578125" style="108" customWidth="1"/>
    <col min="13320" max="13320" width="0.85546875" style="108" customWidth="1"/>
    <col min="13321" max="13321" width="13.7109375" style="108" customWidth="1"/>
    <col min="13322" max="13566" width="11.5703125" style="108"/>
    <col min="13567" max="13567" width="7.85546875" style="108" customWidth="1"/>
    <col min="13568" max="13568" width="24.5703125" style="108" customWidth="1"/>
    <col min="13569" max="13569" width="3.7109375" style="108" customWidth="1"/>
    <col min="13570" max="13570" width="4.85546875" style="108" customWidth="1"/>
    <col min="13571" max="13571" width="0.85546875" style="108" customWidth="1"/>
    <col min="13572" max="13572" width="9" style="108" customWidth="1"/>
    <col min="13573" max="13573" width="10" style="108" customWidth="1"/>
    <col min="13574" max="13574" width="0.85546875" style="108" customWidth="1"/>
    <col min="13575" max="13575" width="12.42578125" style="108" customWidth="1"/>
    <col min="13576" max="13576" width="0.85546875" style="108" customWidth="1"/>
    <col min="13577" max="13577" width="13.7109375" style="108" customWidth="1"/>
    <col min="13578" max="13822" width="11.5703125" style="108"/>
    <col min="13823" max="13823" width="7.85546875" style="108" customWidth="1"/>
    <col min="13824" max="13824" width="24.5703125" style="108" customWidth="1"/>
    <col min="13825" max="13825" width="3.7109375" style="108" customWidth="1"/>
    <col min="13826" max="13826" width="4.85546875" style="108" customWidth="1"/>
    <col min="13827" max="13827" width="0.85546875" style="108" customWidth="1"/>
    <col min="13828" max="13828" width="9" style="108" customWidth="1"/>
    <col min="13829" max="13829" width="10" style="108" customWidth="1"/>
    <col min="13830" max="13830" width="0.85546875" style="108" customWidth="1"/>
    <col min="13831" max="13831" width="12.42578125" style="108" customWidth="1"/>
    <col min="13832" max="13832" width="0.85546875" style="108" customWidth="1"/>
    <col min="13833" max="13833" width="13.7109375" style="108" customWidth="1"/>
    <col min="13834" max="14078" width="11.5703125" style="108"/>
    <col min="14079" max="14079" width="7.85546875" style="108" customWidth="1"/>
    <col min="14080" max="14080" width="24.5703125" style="108" customWidth="1"/>
    <col min="14081" max="14081" width="3.7109375" style="108" customWidth="1"/>
    <col min="14082" max="14082" width="4.85546875" style="108" customWidth="1"/>
    <col min="14083" max="14083" width="0.85546875" style="108" customWidth="1"/>
    <col min="14084" max="14084" width="9" style="108" customWidth="1"/>
    <col min="14085" max="14085" width="10" style="108" customWidth="1"/>
    <col min="14086" max="14086" width="0.85546875" style="108" customWidth="1"/>
    <col min="14087" max="14087" width="12.42578125" style="108" customWidth="1"/>
    <col min="14088" max="14088" width="0.85546875" style="108" customWidth="1"/>
    <col min="14089" max="14089" width="13.7109375" style="108" customWidth="1"/>
    <col min="14090" max="14334" width="11.5703125" style="108"/>
    <col min="14335" max="14335" width="7.85546875" style="108" customWidth="1"/>
    <col min="14336" max="14336" width="24.5703125" style="108" customWidth="1"/>
    <col min="14337" max="14337" width="3.7109375" style="108" customWidth="1"/>
    <col min="14338" max="14338" width="4.85546875" style="108" customWidth="1"/>
    <col min="14339" max="14339" width="0.85546875" style="108" customWidth="1"/>
    <col min="14340" max="14340" width="9" style="108" customWidth="1"/>
    <col min="14341" max="14341" width="10" style="108" customWidth="1"/>
    <col min="14342" max="14342" width="0.85546875" style="108" customWidth="1"/>
    <col min="14343" max="14343" width="12.42578125" style="108" customWidth="1"/>
    <col min="14344" max="14344" width="0.85546875" style="108" customWidth="1"/>
    <col min="14345" max="14345" width="13.7109375" style="108" customWidth="1"/>
    <col min="14346" max="14590" width="11.5703125" style="108"/>
    <col min="14591" max="14591" width="7.85546875" style="108" customWidth="1"/>
    <col min="14592" max="14592" width="24.5703125" style="108" customWidth="1"/>
    <col min="14593" max="14593" width="3.7109375" style="108" customWidth="1"/>
    <col min="14594" max="14594" width="4.85546875" style="108" customWidth="1"/>
    <col min="14595" max="14595" width="0.85546875" style="108" customWidth="1"/>
    <col min="14596" max="14596" width="9" style="108" customWidth="1"/>
    <col min="14597" max="14597" width="10" style="108" customWidth="1"/>
    <col min="14598" max="14598" width="0.85546875" style="108" customWidth="1"/>
    <col min="14599" max="14599" width="12.42578125" style="108" customWidth="1"/>
    <col min="14600" max="14600" width="0.85546875" style="108" customWidth="1"/>
    <col min="14601" max="14601" width="13.7109375" style="108" customWidth="1"/>
    <col min="14602" max="14846" width="11.5703125" style="108"/>
    <col min="14847" max="14847" width="7.85546875" style="108" customWidth="1"/>
    <col min="14848" max="14848" width="24.5703125" style="108" customWidth="1"/>
    <col min="14849" max="14849" width="3.7109375" style="108" customWidth="1"/>
    <col min="14850" max="14850" width="4.85546875" style="108" customWidth="1"/>
    <col min="14851" max="14851" width="0.85546875" style="108" customWidth="1"/>
    <col min="14852" max="14852" width="9" style="108" customWidth="1"/>
    <col min="14853" max="14853" width="10" style="108" customWidth="1"/>
    <col min="14854" max="14854" width="0.85546875" style="108" customWidth="1"/>
    <col min="14855" max="14855" width="12.42578125" style="108" customWidth="1"/>
    <col min="14856" max="14856" width="0.85546875" style="108" customWidth="1"/>
    <col min="14857" max="14857" width="13.7109375" style="108" customWidth="1"/>
    <col min="14858" max="15102" width="11.5703125" style="108"/>
    <col min="15103" max="15103" width="7.85546875" style="108" customWidth="1"/>
    <col min="15104" max="15104" width="24.5703125" style="108" customWidth="1"/>
    <col min="15105" max="15105" width="3.7109375" style="108" customWidth="1"/>
    <col min="15106" max="15106" width="4.85546875" style="108" customWidth="1"/>
    <col min="15107" max="15107" width="0.85546875" style="108" customWidth="1"/>
    <col min="15108" max="15108" width="9" style="108" customWidth="1"/>
    <col min="15109" max="15109" width="10" style="108" customWidth="1"/>
    <col min="15110" max="15110" width="0.85546875" style="108" customWidth="1"/>
    <col min="15111" max="15111" width="12.42578125" style="108" customWidth="1"/>
    <col min="15112" max="15112" width="0.85546875" style="108" customWidth="1"/>
    <col min="15113" max="15113" width="13.7109375" style="108" customWidth="1"/>
    <col min="15114" max="15358" width="11.5703125" style="108"/>
    <col min="15359" max="15359" width="7.85546875" style="108" customWidth="1"/>
    <col min="15360" max="15360" width="24.5703125" style="108" customWidth="1"/>
    <col min="15361" max="15361" width="3.7109375" style="108" customWidth="1"/>
    <col min="15362" max="15362" width="4.85546875" style="108" customWidth="1"/>
    <col min="15363" max="15363" width="0.85546875" style="108" customWidth="1"/>
    <col min="15364" max="15364" width="9" style="108" customWidth="1"/>
    <col min="15365" max="15365" width="10" style="108" customWidth="1"/>
    <col min="15366" max="15366" width="0.85546875" style="108" customWidth="1"/>
    <col min="15367" max="15367" width="12.42578125" style="108" customWidth="1"/>
    <col min="15368" max="15368" width="0.85546875" style="108" customWidth="1"/>
    <col min="15369" max="15369" width="13.7109375" style="108" customWidth="1"/>
    <col min="15370" max="15614" width="11.5703125" style="108"/>
    <col min="15615" max="15615" width="7.85546875" style="108" customWidth="1"/>
    <col min="15616" max="15616" width="24.5703125" style="108" customWidth="1"/>
    <col min="15617" max="15617" width="3.7109375" style="108" customWidth="1"/>
    <col min="15618" max="15618" width="4.85546875" style="108" customWidth="1"/>
    <col min="15619" max="15619" width="0.85546875" style="108" customWidth="1"/>
    <col min="15620" max="15620" width="9" style="108" customWidth="1"/>
    <col min="15621" max="15621" width="10" style="108" customWidth="1"/>
    <col min="15622" max="15622" width="0.85546875" style="108" customWidth="1"/>
    <col min="15623" max="15623" width="12.42578125" style="108" customWidth="1"/>
    <col min="15624" max="15624" width="0.85546875" style="108" customWidth="1"/>
    <col min="15625" max="15625" width="13.7109375" style="108" customWidth="1"/>
    <col min="15626" max="15870" width="11.5703125" style="108"/>
    <col min="15871" max="15871" width="7.85546875" style="108" customWidth="1"/>
    <col min="15872" max="15872" width="24.5703125" style="108" customWidth="1"/>
    <col min="15873" max="15873" width="3.7109375" style="108" customWidth="1"/>
    <col min="15874" max="15874" width="4.85546875" style="108" customWidth="1"/>
    <col min="15875" max="15875" width="0.85546875" style="108" customWidth="1"/>
    <col min="15876" max="15876" width="9" style="108" customWidth="1"/>
    <col min="15877" max="15877" width="10" style="108" customWidth="1"/>
    <col min="15878" max="15878" width="0.85546875" style="108" customWidth="1"/>
    <col min="15879" max="15879" width="12.42578125" style="108" customWidth="1"/>
    <col min="15880" max="15880" width="0.85546875" style="108" customWidth="1"/>
    <col min="15881" max="15881" width="13.7109375" style="108" customWidth="1"/>
    <col min="15882" max="16126" width="11.5703125" style="108"/>
    <col min="16127" max="16127" width="7.85546875" style="108" customWidth="1"/>
    <col min="16128" max="16128" width="24.5703125" style="108" customWidth="1"/>
    <col min="16129" max="16129" width="3.7109375" style="108" customWidth="1"/>
    <col min="16130" max="16130" width="4.85546875" style="108" customWidth="1"/>
    <col min="16131" max="16131" width="0.85546875" style="108" customWidth="1"/>
    <col min="16132" max="16132" width="9" style="108" customWidth="1"/>
    <col min="16133" max="16133" width="10" style="108" customWidth="1"/>
    <col min="16134" max="16134" width="0.85546875" style="108" customWidth="1"/>
    <col min="16135" max="16135" width="12.42578125" style="108" customWidth="1"/>
    <col min="16136" max="16136" width="0.85546875" style="108" customWidth="1"/>
    <col min="16137" max="16137" width="13.7109375" style="108" customWidth="1"/>
    <col min="16138" max="16384" width="11.5703125" style="108"/>
  </cols>
  <sheetData>
    <row r="1" spans="1:10">
      <c r="A1" s="2"/>
    </row>
    <row r="2" spans="1:10">
      <c r="D2" s="115"/>
    </row>
    <row r="3" spans="1:10" s="109" customFormat="1" ht="33.75" customHeight="1">
      <c r="B3" s="297" t="s">
        <v>281</v>
      </c>
      <c r="C3" s="297"/>
      <c r="D3" s="297"/>
      <c r="E3" s="297"/>
      <c r="F3" s="297"/>
      <c r="G3" s="297"/>
      <c r="H3" s="213"/>
      <c r="I3" s="213"/>
      <c r="J3" s="115"/>
    </row>
    <row r="4" spans="1:10" s="206" customFormat="1" ht="18">
      <c r="A4" s="207"/>
      <c r="B4" s="207"/>
      <c r="C4" s="207"/>
      <c r="D4" s="207"/>
      <c r="E4" s="207"/>
      <c r="F4" s="207"/>
      <c r="G4" s="207"/>
      <c r="H4" s="207"/>
      <c r="I4" s="207"/>
      <c r="J4" s="205"/>
    </row>
    <row r="5" spans="1:10" s="206" customFormat="1" ht="16.149999999999999" customHeight="1">
      <c r="A5" s="207"/>
      <c r="B5" s="207"/>
      <c r="C5" s="208" t="s">
        <v>282</v>
      </c>
      <c r="D5" s="208" t="s">
        <v>283</v>
      </c>
      <c r="E5" s="208" t="s">
        <v>284</v>
      </c>
      <c r="F5" s="208" t="s">
        <v>285</v>
      </c>
      <c r="G5" s="208" t="s">
        <v>286</v>
      </c>
      <c r="H5" s="207"/>
      <c r="I5" s="207"/>
      <c r="J5" s="205"/>
    </row>
    <row r="6" spans="1:10" s="152" customFormat="1">
      <c r="A6" s="3"/>
      <c r="B6" s="7" t="s">
        <v>287</v>
      </c>
      <c r="C6" s="123"/>
      <c r="D6" s="151"/>
      <c r="E6" s="123"/>
      <c r="F6" s="123"/>
      <c r="G6" s="123"/>
      <c r="H6" s="3"/>
      <c r="I6" s="3"/>
      <c r="J6" s="95"/>
    </row>
    <row r="7" spans="1:10" s="152" customFormat="1">
      <c r="A7" s="3"/>
      <c r="B7" s="9" t="s">
        <v>288</v>
      </c>
      <c r="C7" s="127">
        <f>'C6A'!E41*$C$17</f>
        <v>465701.52</v>
      </c>
      <c r="D7" s="127">
        <f>'C6B'!E42*C17</f>
        <v>870057.9360000001</v>
      </c>
      <c r="E7" s="127">
        <f>'C6C'!E42*C17</f>
        <v>957063.72959999996</v>
      </c>
      <c r="F7" s="127">
        <f>'C6D'!E42*C17</f>
        <v>1052770.10256</v>
      </c>
      <c r="G7" s="127">
        <f>'C6E'!E42*C17</f>
        <v>1158047.1128159999</v>
      </c>
      <c r="H7" s="3"/>
      <c r="I7" s="3"/>
      <c r="J7" s="95"/>
    </row>
    <row r="8" spans="1:10" ht="15.6" customHeight="1">
      <c r="B8" s="9" t="s">
        <v>289</v>
      </c>
      <c r="C8" s="127">
        <f>'C6A'!E42*C19</f>
        <v>3600</v>
      </c>
      <c r="D8" s="127">
        <f>'C6B'!E43*C19</f>
        <v>3960</v>
      </c>
      <c r="E8" s="127">
        <f>'C6C'!E43*C19</f>
        <v>4356</v>
      </c>
      <c r="F8" s="212">
        <f>'C6D'!E43*C19</f>
        <v>4791.6000000000004</v>
      </c>
      <c r="G8" s="212">
        <f>'C6E'!E43*C19</f>
        <v>5270.76</v>
      </c>
      <c r="H8" s="108"/>
      <c r="I8" s="108"/>
      <c r="J8" s="108"/>
    </row>
    <row r="9" spans="1:10">
      <c r="B9" s="7" t="s">
        <v>290</v>
      </c>
      <c r="C9" s="131">
        <f>SUM(C7:C8)</f>
        <v>469301.52</v>
      </c>
      <c r="D9" s="131">
        <f t="shared" ref="D9:G9" si="0">SUM(D7:D8)</f>
        <v>874017.9360000001</v>
      </c>
      <c r="E9" s="131">
        <f>SUM(E7:E8)</f>
        <v>961419.72959999996</v>
      </c>
      <c r="F9" s="131">
        <f t="shared" si="0"/>
        <v>1057561.7025600001</v>
      </c>
      <c r="G9" s="131">
        <f t="shared" si="0"/>
        <v>1163317.8728159999</v>
      </c>
    </row>
    <row r="10" spans="1:10">
      <c r="B10" s="209" t="s">
        <v>291</v>
      </c>
      <c r="C10" s="127"/>
      <c r="D10" s="127"/>
      <c r="E10" s="127"/>
      <c r="F10" s="127"/>
      <c r="G10" s="127"/>
    </row>
    <row r="11" spans="1:10">
      <c r="B11" s="210" t="s">
        <v>292</v>
      </c>
      <c r="C11" s="127">
        <f>C7*C18</f>
        <v>838262.73600000003</v>
      </c>
      <c r="D11" s="127">
        <f>D7*C18</f>
        <v>1566104.2848000003</v>
      </c>
      <c r="E11" s="127">
        <f>E7*C18</f>
        <v>1722714.71328</v>
      </c>
      <c r="F11" s="127">
        <f>F7*C18</f>
        <v>1894986.1846080001</v>
      </c>
      <c r="G11" s="127">
        <f>G7*C18</f>
        <v>2084484.8030687999</v>
      </c>
    </row>
    <row r="12" spans="1:10">
      <c r="B12" s="210" t="s">
        <v>289</v>
      </c>
      <c r="C12" s="127">
        <f>C8*C18</f>
        <v>6480</v>
      </c>
      <c r="D12" s="127">
        <f>D8*C18</f>
        <v>7128</v>
      </c>
      <c r="E12" s="127">
        <f>E8*C18</f>
        <v>7840.8</v>
      </c>
      <c r="F12" s="127">
        <f>F8*C18</f>
        <v>8624.880000000001</v>
      </c>
      <c r="G12" s="127">
        <f>G8*C18</f>
        <v>9487.3680000000004</v>
      </c>
    </row>
    <row r="13" spans="1:10">
      <c r="B13" s="209" t="s">
        <v>293</v>
      </c>
      <c r="C13" s="131">
        <f>C11+C12</f>
        <v>844742.73600000003</v>
      </c>
      <c r="D13" s="131">
        <f>D11+D12</f>
        <v>1573232.2848000003</v>
      </c>
      <c r="E13" s="131">
        <f>E11+E12</f>
        <v>1730555.5132800001</v>
      </c>
      <c r="F13" s="131">
        <f t="shared" ref="F13:G13" si="1">F11+F12</f>
        <v>1903611.064608</v>
      </c>
      <c r="G13" s="131">
        <f t="shared" si="1"/>
        <v>2093972.1710687999</v>
      </c>
    </row>
    <row r="15" spans="1:10">
      <c r="B15" s="7" t="s">
        <v>58</v>
      </c>
      <c r="C15" s="123">
        <f>C13+C9</f>
        <v>1314044.2560000001</v>
      </c>
      <c r="D15" s="123">
        <f t="shared" ref="D15:G15" si="2">D13+D9</f>
        <v>2447250.2208000002</v>
      </c>
      <c r="E15" s="123">
        <f t="shared" si="2"/>
        <v>2691975.2428799998</v>
      </c>
      <c r="F15" s="123">
        <f t="shared" si="2"/>
        <v>2961172.7671680003</v>
      </c>
      <c r="G15" s="123">
        <f t="shared" si="2"/>
        <v>3257290.0438847998</v>
      </c>
    </row>
    <row r="16" spans="1:10">
      <c r="B16" s="149"/>
      <c r="C16" s="125">
        <f>C15/1164</f>
        <v>1128.904</v>
      </c>
      <c r="D16" s="125">
        <f t="shared" ref="D16:G16" si="3">D15/1164</f>
        <v>2102.4486432989693</v>
      </c>
      <c r="E16" s="125">
        <f t="shared" si="3"/>
        <v>2312.693507628866</v>
      </c>
      <c r="F16" s="125">
        <f t="shared" si="3"/>
        <v>2543.9628583917529</v>
      </c>
      <c r="G16" s="125">
        <f t="shared" si="3"/>
        <v>2798.3591442309275</v>
      </c>
    </row>
    <row r="17" spans="2:3">
      <c r="B17" s="3" t="s">
        <v>295</v>
      </c>
      <c r="C17" s="3">
        <v>12</v>
      </c>
    </row>
    <row r="18" spans="2:3">
      <c r="B18" s="3" t="s">
        <v>296</v>
      </c>
      <c r="C18" s="4">
        <f>'C6A'!E46</f>
        <v>1.8</v>
      </c>
    </row>
    <row r="19" spans="2:3">
      <c r="B19" s="3" t="s">
        <v>297</v>
      </c>
      <c r="C19" s="3">
        <v>3</v>
      </c>
    </row>
    <row r="23" spans="2:3">
      <c r="C23" s="118">
        <f>C7+C11</f>
        <v>1303964.2560000001</v>
      </c>
    </row>
    <row r="24" spans="2:3">
      <c r="C24" s="118">
        <f>C8+C12</f>
        <v>10080</v>
      </c>
    </row>
    <row r="25" spans="2:3">
      <c r="C25" s="118">
        <f>C23+C24</f>
        <v>1314044.2560000001</v>
      </c>
    </row>
  </sheetData>
  <mergeCells count="1">
    <mergeCell ref="B3:G3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3:K34"/>
  <sheetViews>
    <sheetView topLeftCell="A12" workbookViewId="0">
      <selection activeCell="D20" sqref="D20"/>
    </sheetView>
  </sheetViews>
  <sheetFormatPr baseColWidth="10" defaultRowHeight="15.75"/>
  <cols>
    <col min="1" max="1" width="11.42578125" style="1"/>
    <col min="2" max="2" width="52.42578125" style="1" customWidth="1"/>
    <col min="3" max="3" width="11.42578125" style="1"/>
    <col min="4" max="4" width="15" style="1" customWidth="1"/>
    <col min="5" max="8" width="14.140625" style="1" bestFit="1" customWidth="1"/>
  </cols>
  <sheetData>
    <row r="3" spans="2:11">
      <c r="B3" s="2"/>
      <c r="C3" s="3"/>
      <c r="D3" s="3"/>
      <c r="E3" s="3"/>
      <c r="F3" s="3"/>
      <c r="G3" s="3"/>
      <c r="H3" s="3"/>
    </row>
    <row r="4" spans="2:11">
      <c r="B4" s="272" t="s">
        <v>231</v>
      </c>
      <c r="C4" s="272"/>
      <c r="D4" s="272"/>
      <c r="E4" s="272"/>
      <c r="F4" s="272"/>
      <c r="G4" s="272"/>
      <c r="H4" s="272"/>
    </row>
    <row r="5" spans="2:11">
      <c r="B5" s="3"/>
      <c r="C5" s="3"/>
      <c r="D5" s="3"/>
      <c r="E5" s="3"/>
      <c r="F5" s="3"/>
      <c r="G5" s="3"/>
      <c r="H5" s="3"/>
    </row>
    <row r="6" spans="2:11">
      <c r="B6" s="3"/>
      <c r="C6" s="3"/>
      <c r="D6" s="3"/>
      <c r="E6" s="3"/>
      <c r="F6" s="3"/>
      <c r="G6" s="3"/>
      <c r="H6" s="3"/>
    </row>
    <row r="7" spans="2:11" ht="31.5">
      <c r="B7" s="6"/>
      <c r="C7" s="15" t="s">
        <v>1</v>
      </c>
      <c r="D7" s="15" t="s">
        <v>2</v>
      </c>
      <c r="E7" s="258" t="s">
        <v>470</v>
      </c>
      <c r="F7" s="15" t="s">
        <v>4</v>
      </c>
      <c r="G7" s="15" t="s">
        <v>5</v>
      </c>
      <c r="H7" s="15" t="s">
        <v>6</v>
      </c>
    </row>
    <row r="8" spans="2:11">
      <c r="B8" s="14" t="s">
        <v>7</v>
      </c>
      <c r="C8" s="17"/>
      <c r="D8" s="18"/>
      <c r="E8" s="18"/>
      <c r="F8" s="18"/>
      <c r="G8" s="18"/>
      <c r="H8" s="19"/>
    </row>
    <row r="9" spans="2:11">
      <c r="B9" s="14" t="s">
        <v>8</v>
      </c>
      <c r="C9" s="20"/>
      <c r="D9" s="21"/>
      <c r="E9" s="21"/>
      <c r="F9" s="21"/>
      <c r="G9" s="21"/>
      <c r="H9" s="22"/>
    </row>
    <row r="10" spans="2:11">
      <c r="B10" s="9" t="s">
        <v>9</v>
      </c>
      <c r="C10" s="16">
        <f>'C1'!C10</f>
        <v>1</v>
      </c>
      <c r="D10" s="16">
        <f>'C1'!D10</f>
        <v>1</v>
      </c>
      <c r="E10" s="16">
        <f>'C1'!E10</f>
        <v>1</v>
      </c>
      <c r="F10" s="16">
        <f>'C1'!F10</f>
        <v>1</v>
      </c>
      <c r="G10" s="16">
        <f>'C1'!G10</f>
        <v>1</v>
      </c>
      <c r="H10" s="16">
        <f>'C1'!H10</f>
        <v>1</v>
      </c>
    </row>
    <row r="11" spans="2:11">
      <c r="B11" s="9" t="s">
        <v>27</v>
      </c>
      <c r="C11" s="11">
        <f>'C1'!C11</f>
        <v>340</v>
      </c>
      <c r="D11" s="11">
        <f>'C1'!D11</f>
        <v>340</v>
      </c>
      <c r="E11" s="11">
        <f>'C1'!E11</f>
        <v>340</v>
      </c>
      <c r="F11" s="11">
        <f>'C1'!F11</f>
        <v>340</v>
      </c>
      <c r="G11" s="11">
        <f>'C1'!G11</f>
        <v>340</v>
      </c>
      <c r="H11" s="11">
        <f>'C1'!H11</f>
        <v>340</v>
      </c>
    </row>
    <row r="12" spans="2:11">
      <c r="B12" s="9" t="s">
        <v>29</v>
      </c>
      <c r="C12" s="11">
        <f>'C1'!C12</f>
        <v>4080</v>
      </c>
      <c r="D12" s="11">
        <f>'C1'!D12</f>
        <v>4080</v>
      </c>
      <c r="E12" s="11">
        <f>'C1'!E12</f>
        <v>4080</v>
      </c>
      <c r="F12" s="11">
        <f>'C1'!F12</f>
        <v>4080</v>
      </c>
      <c r="G12" s="11">
        <f>'C1'!G12</f>
        <v>4080</v>
      </c>
      <c r="H12" s="11">
        <f>'C1'!H12</f>
        <v>4080</v>
      </c>
    </row>
    <row r="13" spans="2:11">
      <c r="B13" s="7" t="s">
        <v>10</v>
      </c>
      <c r="C13" s="8"/>
      <c r="D13" s="8"/>
      <c r="E13" s="8"/>
      <c r="F13" s="8"/>
      <c r="G13" s="8"/>
      <c r="H13" s="8"/>
    </row>
    <row r="14" spans="2:11">
      <c r="B14" s="9" t="s">
        <v>9</v>
      </c>
      <c r="C14" s="26">
        <f>'C1'!C14</f>
        <v>0.2853</v>
      </c>
      <c r="D14" s="26">
        <f>'C1'!D14</f>
        <v>0.2853</v>
      </c>
      <c r="E14" s="26">
        <f>'C1'!E14</f>
        <v>0.5</v>
      </c>
      <c r="F14" s="26">
        <f>'C1'!F14</f>
        <v>1</v>
      </c>
      <c r="G14" s="26">
        <f>'C1'!G14</f>
        <v>1</v>
      </c>
      <c r="H14" s="26">
        <f>'C1'!H14</f>
        <v>1</v>
      </c>
      <c r="K14" s="23"/>
    </row>
    <row r="15" spans="2:11">
      <c r="B15" s="9" t="s">
        <v>27</v>
      </c>
      <c r="C15" s="12"/>
      <c r="D15" s="11">
        <f>'C1'!D15</f>
        <v>97.001999999999995</v>
      </c>
      <c r="E15" s="11">
        <f>'C1'!E15</f>
        <v>170</v>
      </c>
      <c r="F15" s="11">
        <f>'C1'!F15</f>
        <v>340</v>
      </c>
      <c r="G15" s="11">
        <f>'C1'!G15</f>
        <v>340</v>
      </c>
      <c r="H15" s="11">
        <f>'C1'!H15</f>
        <v>340</v>
      </c>
    </row>
    <row r="16" spans="2:11">
      <c r="B16" s="9" t="s">
        <v>29</v>
      </c>
      <c r="C16" s="12"/>
      <c r="D16" s="11">
        <f>'C1'!D16</f>
        <v>1164.0239999999999</v>
      </c>
      <c r="E16" s="11">
        <f>'C1'!E16</f>
        <v>2040</v>
      </c>
      <c r="F16" s="11">
        <f>'C1'!F16</f>
        <v>4080</v>
      </c>
      <c r="G16" s="11">
        <f>'C1'!G16</f>
        <v>4080</v>
      </c>
      <c r="H16" s="11">
        <f>'C1'!H16</f>
        <v>4080</v>
      </c>
    </row>
    <row r="17" spans="2:11">
      <c r="B17" s="7" t="s">
        <v>31</v>
      </c>
      <c r="C17" s="8"/>
      <c r="D17" s="13">
        <f>'C1'!D17</f>
        <v>1164.0239999999999</v>
      </c>
      <c r="E17" s="13">
        <f>'C1'!E17</f>
        <v>2040</v>
      </c>
      <c r="F17" s="13">
        <f>'C1'!F17</f>
        <v>4080</v>
      </c>
      <c r="G17" s="13">
        <f>'C1'!G17</f>
        <v>4080</v>
      </c>
      <c r="H17" s="13">
        <f>'C1'!H17</f>
        <v>4080</v>
      </c>
    </row>
    <row r="18" spans="2:11">
      <c r="B18" s="9"/>
      <c r="C18" s="12"/>
      <c r="D18" s="12"/>
      <c r="E18" s="12"/>
      <c r="F18" s="12"/>
      <c r="G18" s="12"/>
      <c r="H18" s="12"/>
    </row>
    <row r="19" spans="2:11">
      <c r="B19" s="7" t="s">
        <v>30</v>
      </c>
      <c r="C19" s="8"/>
      <c r="D19" s="13">
        <f>'C1'!D19</f>
        <v>1164.0239999999999</v>
      </c>
      <c r="E19" s="13">
        <f>'C1'!E19</f>
        <v>2040</v>
      </c>
      <c r="F19" s="13">
        <f>'C1'!F19</f>
        <v>4080</v>
      </c>
      <c r="G19" s="13">
        <f>'C1'!G19</f>
        <v>4080</v>
      </c>
      <c r="H19" s="13">
        <f>'C1'!H19</f>
        <v>4080</v>
      </c>
    </row>
    <row r="20" spans="2:11">
      <c r="B20" s="7" t="s">
        <v>233</v>
      </c>
      <c r="C20" s="8"/>
      <c r="D20" s="131">
        <f>('C6F'!C15+'C9'!D18)/'C7'!D19</f>
        <v>2069.2553665921509</v>
      </c>
      <c r="E20" s="131">
        <f>('C6F'!D15+'C9'!E18)/'C7'!E19</f>
        <v>2422.1194964048514</v>
      </c>
      <c r="F20" s="131">
        <f>('C6F'!E15+'C9'!F18)/'C7'!F19</f>
        <v>1454.4144265455061</v>
      </c>
      <c r="G20" s="131">
        <f>('C6F'!F15+'C9'!G18)/'C7'!G19</f>
        <v>1758.7791837797461</v>
      </c>
      <c r="H20" s="131">
        <f>('C6F'!G15+'C9'!H18)/'C7'!H19</f>
        <v>2141.2574111113167</v>
      </c>
    </row>
    <row r="21" spans="2:11">
      <c r="B21" s="7" t="s">
        <v>234</v>
      </c>
      <c r="C21" s="8"/>
      <c r="D21" s="131">
        <f>D20*D19</f>
        <v>2408662.9088420616</v>
      </c>
      <c r="E21" s="131">
        <f>E20*E19</f>
        <v>4941123.7726658965</v>
      </c>
      <c r="F21" s="131">
        <f t="shared" ref="F21:H21" si="0">F20*F19</f>
        <v>5934010.8603056651</v>
      </c>
      <c r="G21" s="131">
        <f>G20*G19</f>
        <v>7175819.0698213642</v>
      </c>
      <c r="H21" s="131">
        <f t="shared" si="0"/>
        <v>8736330.2373341732</v>
      </c>
    </row>
    <row r="22" spans="2:11">
      <c r="B22" s="9"/>
      <c r="C22" s="9"/>
      <c r="D22" s="9"/>
      <c r="E22" s="9"/>
      <c r="F22" s="9"/>
      <c r="G22" s="9"/>
      <c r="H22" s="9"/>
      <c r="J22" s="24"/>
      <c r="K22" s="24"/>
    </row>
    <row r="23" spans="2:11">
      <c r="B23" s="3"/>
      <c r="C23" s="3"/>
      <c r="D23" s="3"/>
      <c r="E23" s="3"/>
      <c r="F23" s="3"/>
      <c r="G23" s="3"/>
      <c r="H23" s="3"/>
      <c r="J23" s="24"/>
      <c r="K23" s="25"/>
    </row>
    <row r="24" spans="2:11">
      <c r="B24" s="2" t="s">
        <v>11</v>
      </c>
      <c r="C24" s="3"/>
      <c r="D24" s="118"/>
      <c r="E24" s="118"/>
      <c r="F24" s="118"/>
      <c r="G24" s="118"/>
      <c r="H24" s="118"/>
    </row>
    <row r="25" spans="2:11">
      <c r="B25" s="3"/>
      <c r="C25" s="3"/>
      <c r="D25" s="3"/>
      <c r="E25" s="3"/>
      <c r="F25" s="3"/>
      <c r="G25" s="3"/>
      <c r="H25" s="3"/>
    </row>
    <row r="26" spans="2:11">
      <c r="B26" s="3" t="s">
        <v>12</v>
      </c>
      <c r="C26" s="139">
        <v>1</v>
      </c>
      <c r="D26" s="3" t="s">
        <v>13</v>
      </c>
      <c r="E26" s="3"/>
      <c r="F26" s="3"/>
      <c r="G26" s="3"/>
      <c r="H26"/>
    </row>
    <row r="27" spans="2:11">
      <c r="B27" s="3" t="s">
        <v>14</v>
      </c>
      <c r="C27" s="140">
        <v>340</v>
      </c>
      <c r="D27" s="3" t="s">
        <v>28</v>
      </c>
      <c r="E27" s="3"/>
      <c r="F27" s="3"/>
      <c r="G27" s="3"/>
      <c r="H27"/>
    </row>
    <row r="28" spans="2:11">
      <c r="B28" s="3" t="s">
        <v>15</v>
      </c>
      <c r="C28" s="141">
        <v>0.2853</v>
      </c>
      <c r="D28" s="3" t="s">
        <v>16</v>
      </c>
      <c r="E28" s="3"/>
      <c r="F28" s="3"/>
      <c r="G28" s="3"/>
      <c r="H28"/>
    </row>
    <row r="29" spans="2:11">
      <c r="B29" s="3" t="s">
        <v>17</v>
      </c>
      <c r="C29" s="139">
        <v>1</v>
      </c>
      <c r="D29" s="3" t="s">
        <v>18</v>
      </c>
      <c r="E29" s="3"/>
      <c r="F29" s="3"/>
      <c r="G29" s="3"/>
      <c r="H29"/>
    </row>
    <row r="30" spans="2:11">
      <c r="B30" s="3" t="s">
        <v>19</v>
      </c>
      <c r="C30" s="121">
        <v>1</v>
      </c>
      <c r="D30" s="3" t="s">
        <v>20</v>
      </c>
      <c r="E30" s="3"/>
      <c r="F30" s="3"/>
      <c r="G30" s="3"/>
      <c r="H30"/>
    </row>
    <row r="31" spans="2:11">
      <c r="B31" s="3" t="s">
        <v>21</v>
      </c>
      <c r="C31" s="121">
        <v>22</v>
      </c>
      <c r="D31" s="3" t="s">
        <v>22</v>
      </c>
      <c r="E31" s="3"/>
      <c r="F31" s="3"/>
      <c r="G31" s="3"/>
      <c r="H31"/>
    </row>
    <row r="32" spans="2:11">
      <c r="B32" s="3" t="s">
        <v>23</v>
      </c>
      <c r="C32" s="121">
        <v>12</v>
      </c>
      <c r="D32" s="3" t="s">
        <v>24</v>
      </c>
      <c r="E32" s="3"/>
      <c r="F32" s="3"/>
      <c r="G32" s="3"/>
      <c r="H32"/>
    </row>
    <row r="33" spans="2:8">
      <c r="B33" s="3" t="s">
        <v>25</v>
      </c>
      <c r="C33" s="121">
        <v>264</v>
      </c>
      <c r="D33" s="3" t="s">
        <v>26</v>
      </c>
      <c r="E33" s="3"/>
      <c r="F33" s="3"/>
      <c r="G33" s="3"/>
      <c r="H33"/>
    </row>
    <row r="34" spans="2:8">
      <c r="C34" s="142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K34"/>
  <sheetViews>
    <sheetView topLeftCell="A13" workbookViewId="0">
      <selection activeCell="D29" sqref="D29"/>
    </sheetView>
  </sheetViews>
  <sheetFormatPr baseColWidth="10" defaultRowHeight="15.75"/>
  <cols>
    <col min="1" max="1" width="11.42578125" style="1"/>
    <col min="2" max="2" width="52.42578125" style="1" customWidth="1"/>
    <col min="3" max="3" width="11.42578125" style="1"/>
    <col min="4" max="4" width="17.28515625" style="1" customWidth="1"/>
    <col min="5" max="6" width="14.140625" style="1" bestFit="1" customWidth="1"/>
    <col min="7" max="8" width="15.28515625" style="1" bestFit="1" customWidth="1"/>
  </cols>
  <sheetData>
    <row r="3" spans="2:11">
      <c r="B3" s="2"/>
      <c r="C3" s="3"/>
      <c r="D3" s="3"/>
      <c r="E3" s="3"/>
      <c r="F3" s="3"/>
      <c r="G3" s="3"/>
      <c r="H3" s="3"/>
    </row>
    <row r="4" spans="2:11">
      <c r="B4" s="272" t="s">
        <v>232</v>
      </c>
      <c r="C4" s="272"/>
      <c r="D4" s="272"/>
      <c r="E4" s="272"/>
      <c r="F4" s="272"/>
      <c r="G4" s="272"/>
      <c r="H4" s="272"/>
    </row>
    <row r="5" spans="2:11">
      <c r="B5" s="3"/>
      <c r="C5" s="3"/>
      <c r="D5" s="3"/>
      <c r="E5" s="3"/>
      <c r="F5" s="3"/>
      <c r="G5" s="3"/>
      <c r="H5" s="3"/>
    </row>
    <row r="6" spans="2:11">
      <c r="B6" s="3"/>
      <c r="C6" s="3"/>
      <c r="D6" s="3"/>
      <c r="E6" s="3"/>
      <c r="F6" s="3"/>
      <c r="G6" s="3"/>
      <c r="H6" s="3"/>
    </row>
    <row r="7" spans="2:11" ht="31.5">
      <c r="B7" s="6"/>
      <c r="C7" s="15" t="s">
        <v>1</v>
      </c>
      <c r="D7" s="258" t="s">
        <v>469</v>
      </c>
      <c r="E7" s="258" t="s">
        <v>401</v>
      </c>
      <c r="F7" s="15" t="s">
        <v>4</v>
      </c>
      <c r="G7" s="15" t="s">
        <v>5</v>
      </c>
      <c r="H7" s="15" t="s">
        <v>6</v>
      </c>
    </row>
    <row r="8" spans="2:11">
      <c r="B8" s="14" t="s">
        <v>7</v>
      </c>
      <c r="C8" s="17"/>
      <c r="D8" s="18"/>
      <c r="E8" s="18"/>
      <c r="F8" s="18"/>
      <c r="G8" s="18"/>
      <c r="H8" s="19"/>
    </row>
    <row r="9" spans="2:11">
      <c r="B9" s="14" t="s">
        <v>8</v>
      </c>
      <c r="C9" s="20"/>
      <c r="D9" s="21"/>
      <c r="E9" s="21"/>
      <c r="F9" s="21"/>
      <c r="G9" s="21"/>
      <c r="H9" s="22"/>
    </row>
    <row r="10" spans="2:11">
      <c r="B10" s="9" t="s">
        <v>9</v>
      </c>
      <c r="C10" s="16">
        <f>'C1'!C10</f>
        <v>1</v>
      </c>
      <c r="D10" s="16">
        <f>'C1'!D10</f>
        <v>1</v>
      </c>
      <c r="E10" s="16">
        <f>'C1'!E10</f>
        <v>1</v>
      </c>
      <c r="F10" s="16">
        <f>'C1'!F10</f>
        <v>1</v>
      </c>
      <c r="G10" s="16">
        <f>'C1'!G10</f>
        <v>1</v>
      </c>
      <c r="H10" s="16">
        <f>'C1'!H10</f>
        <v>1</v>
      </c>
    </row>
    <row r="11" spans="2:11">
      <c r="B11" s="9" t="s">
        <v>27</v>
      </c>
      <c r="C11" s="11">
        <f>'C1'!C11</f>
        <v>340</v>
      </c>
      <c r="D11" s="11">
        <f>'C1'!D11</f>
        <v>340</v>
      </c>
      <c r="E11" s="11">
        <f>'C1'!E11</f>
        <v>340</v>
      </c>
      <c r="F11" s="11">
        <f>'C1'!F11</f>
        <v>340</v>
      </c>
      <c r="G11" s="11">
        <f>'C1'!G11</f>
        <v>340</v>
      </c>
      <c r="H11" s="11">
        <f>'C1'!H11</f>
        <v>340</v>
      </c>
    </row>
    <row r="12" spans="2:11">
      <c r="B12" s="9" t="s">
        <v>29</v>
      </c>
      <c r="C12" s="11">
        <f>'C1'!C12</f>
        <v>4080</v>
      </c>
      <c r="D12" s="11">
        <f>'C1'!D12</f>
        <v>4080</v>
      </c>
      <c r="E12" s="11">
        <f>'C1'!E12</f>
        <v>4080</v>
      </c>
      <c r="F12" s="11">
        <f>'C1'!F12</f>
        <v>4080</v>
      </c>
      <c r="G12" s="11">
        <f>'C1'!G12</f>
        <v>4080</v>
      </c>
      <c r="H12" s="11">
        <f>'C1'!H12</f>
        <v>4080</v>
      </c>
    </row>
    <row r="13" spans="2:11">
      <c r="B13" s="7" t="s">
        <v>10</v>
      </c>
      <c r="C13" s="8"/>
      <c r="D13" s="8"/>
      <c r="E13" s="8"/>
      <c r="F13" s="8"/>
      <c r="G13" s="8"/>
      <c r="H13" s="8"/>
    </row>
    <row r="14" spans="2:11">
      <c r="B14" s="9" t="s">
        <v>9</v>
      </c>
      <c r="C14" s="26">
        <f>'C1'!C14</f>
        <v>0.2853</v>
      </c>
      <c r="D14" s="26">
        <f>'C1'!D14</f>
        <v>0.2853</v>
      </c>
      <c r="E14" s="26">
        <f>'C1'!E14</f>
        <v>0.5</v>
      </c>
      <c r="F14" s="26">
        <f>'C1'!F14</f>
        <v>1</v>
      </c>
      <c r="G14" s="26">
        <f>'C1'!G14</f>
        <v>1</v>
      </c>
      <c r="H14" s="26">
        <f>'C1'!H14</f>
        <v>1</v>
      </c>
      <c r="K14" s="23"/>
    </row>
    <row r="15" spans="2:11">
      <c r="B15" s="9" t="s">
        <v>27</v>
      </c>
      <c r="C15" s="12"/>
      <c r="D15" s="11">
        <f>'C1'!D15</f>
        <v>97.001999999999995</v>
      </c>
      <c r="E15" s="11">
        <f>'C1'!E15</f>
        <v>170</v>
      </c>
      <c r="F15" s="11">
        <f>'C1'!F15</f>
        <v>340</v>
      </c>
      <c r="G15" s="11">
        <f>'C1'!G15</f>
        <v>340</v>
      </c>
      <c r="H15" s="11">
        <f>'C1'!H15</f>
        <v>340</v>
      </c>
    </row>
    <row r="16" spans="2:11">
      <c r="B16" s="9" t="s">
        <v>29</v>
      </c>
      <c r="C16" s="12"/>
      <c r="D16" s="11">
        <f>'C1'!D16</f>
        <v>1164.0239999999999</v>
      </c>
      <c r="E16" s="11">
        <f>'C1'!E16</f>
        <v>2040</v>
      </c>
      <c r="F16" s="11">
        <f>'C1'!F16</f>
        <v>4080</v>
      </c>
      <c r="G16" s="11">
        <f>'C1'!G16</f>
        <v>4080</v>
      </c>
      <c r="H16" s="11">
        <f>'C1'!H16</f>
        <v>4080</v>
      </c>
    </row>
    <row r="17" spans="2:11">
      <c r="B17" s="7" t="s">
        <v>31</v>
      </c>
      <c r="C17" s="8"/>
      <c r="D17" s="13">
        <f>'C1'!D17</f>
        <v>1164.0239999999999</v>
      </c>
      <c r="E17" s="13">
        <f>'C1'!E17</f>
        <v>2040</v>
      </c>
      <c r="F17" s="13">
        <f>'C1'!F17</f>
        <v>4080</v>
      </c>
      <c r="G17" s="13">
        <f>'C1'!G17</f>
        <v>4080</v>
      </c>
      <c r="H17" s="13">
        <f>'C1'!H17</f>
        <v>4080</v>
      </c>
    </row>
    <row r="18" spans="2:11">
      <c r="B18" s="9"/>
      <c r="C18" s="12"/>
      <c r="D18" s="12"/>
      <c r="E18" s="12"/>
      <c r="F18" s="12"/>
      <c r="G18" s="12"/>
      <c r="H18" s="12"/>
    </row>
    <row r="19" spans="2:11">
      <c r="B19" s="7" t="s">
        <v>30</v>
      </c>
      <c r="C19" s="8"/>
      <c r="D19" s="13">
        <f>'C1'!D19</f>
        <v>1164.0239999999999</v>
      </c>
      <c r="E19" s="13">
        <f>'C1'!E19</f>
        <v>2040</v>
      </c>
      <c r="F19" s="13">
        <f>'C1'!F19</f>
        <v>4080</v>
      </c>
      <c r="G19" s="13">
        <f>'C1'!G19</f>
        <v>4080</v>
      </c>
      <c r="H19" s="13">
        <f>'C1'!H19</f>
        <v>4080</v>
      </c>
    </row>
    <row r="20" spans="2:11">
      <c r="B20" s="7" t="s">
        <v>235</v>
      </c>
      <c r="C20" s="8"/>
      <c r="D20" s="13">
        <f>5500</f>
        <v>5500</v>
      </c>
      <c r="E20" s="13">
        <f>D20*(1+$C$33)</f>
        <v>6600</v>
      </c>
      <c r="F20" s="13">
        <f t="shared" ref="F20:H20" si="0">E20*(1+$C$33)</f>
        <v>7920</v>
      </c>
      <c r="G20" s="13">
        <f t="shared" si="0"/>
        <v>9504</v>
      </c>
      <c r="H20" s="13">
        <f t="shared" si="0"/>
        <v>11404.8</v>
      </c>
    </row>
    <row r="21" spans="2:11">
      <c r="B21" s="7" t="s">
        <v>236</v>
      </c>
      <c r="C21" s="8"/>
      <c r="D21" s="131">
        <f>D20*D19</f>
        <v>6402131.9999999991</v>
      </c>
      <c r="E21" s="131">
        <f t="shared" ref="E21:H21" si="1">E20*E19</f>
        <v>13464000</v>
      </c>
      <c r="F21" s="131">
        <f t="shared" si="1"/>
        <v>32313600</v>
      </c>
      <c r="G21" s="131">
        <f>G20*G19</f>
        <v>38776320</v>
      </c>
      <c r="H21" s="131">
        <f t="shared" si="1"/>
        <v>46531584</v>
      </c>
    </row>
    <row r="22" spans="2:11">
      <c r="B22" s="3"/>
      <c r="C22" s="3"/>
      <c r="D22" s="3"/>
      <c r="E22" s="3"/>
      <c r="F22" s="3"/>
      <c r="G22" s="3"/>
      <c r="H22" s="3"/>
      <c r="J22" s="24"/>
      <c r="K22" s="25"/>
    </row>
    <row r="23" spans="2:11">
      <c r="B23" s="2" t="s">
        <v>11</v>
      </c>
      <c r="C23" s="3"/>
      <c r="D23" s="3"/>
      <c r="E23" s="3"/>
      <c r="F23" s="3"/>
      <c r="G23" s="3"/>
      <c r="H23" s="3"/>
    </row>
    <row r="24" spans="2:11">
      <c r="B24" s="3"/>
      <c r="C24" s="3"/>
      <c r="D24" s="3"/>
      <c r="E24" s="3"/>
      <c r="F24" s="3"/>
      <c r="G24" s="3"/>
      <c r="H24" s="3"/>
    </row>
    <row r="25" spans="2:11">
      <c r="B25" s="3" t="s">
        <v>12</v>
      </c>
      <c r="C25" s="139">
        <v>1</v>
      </c>
      <c r="D25" s="3" t="s">
        <v>13</v>
      </c>
      <c r="E25" s="3"/>
      <c r="F25" s="3"/>
      <c r="G25" s="3"/>
      <c r="H25"/>
    </row>
    <row r="26" spans="2:11">
      <c r="B26" s="3" t="s">
        <v>14</v>
      </c>
      <c r="C26" s="140">
        <v>340</v>
      </c>
      <c r="D26" s="3" t="s">
        <v>28</v>
      </c>
      <c r="E26" s="3"/>
      <c r="F26" s="3"/>
      <c r="G26" s="3"/>
      <c r="H26"/>
    </row>
    <row r="27" spans="2:11">
      <c r="B27" s="3" t="s">
        <v>15</v>
      </c>
      <c r="C27" s="141">
        <v>0.2853</v>
      </c>
      <c r="D27" s="3" t="s">
        <v>16</v>
      </c>
      <c r="E27" s="3"/>
      <c r="F27" s="3"/>
      <c r="G27" s="3"/>
      <c r="H27"/>
    </row>
    <row r="28" spans="2:11">
      <c r="B28" s="3" t="s">
        <v>17</v>
      </c>
      <c r="C28" s="139">
        <v>1</v>
      </c>
      <c r="D28" s="3" t="s">
        <v>18</v>
      </c>
      <c r="E28" s="3"/>
      <c r="F28" s="3"/>
      <c r="G28" s="3"/>
      <c r="H28"/>
    </row>
    <row r="29" spans="2:11">
      <c r="B29" s="3" t="s">
        <v>19</v>
      </c>
      <c r="C29" s="121">
        <v>1</v>
      </c>
      <c r="D29" s="3" t="s">
        <v>20</v>
      </c>
      <c r="E29" s="3"/>
      <c r="F29" s="3"/>
      <c r="G29" s="3"/>
      <c r="H29"/>
    </row>
    <row r="30" spans="2:11">
      <c r="B30" s="3" t="s">
        <v>21</v>
      </c>
      <c r="C30" s="121">
        <v>22</v>
      </c>
      <c r="D30" s="3" t="s">
        <v>22</v>
      </c>
      <c r="E30" s="3"/>
      <c r="F30" s="3"/>
      <c r="G30" s="3"/>
      <c r="H30"/>
    </row>
    <row r="31" spans="2:11">
      <c r="B31" s="3" t="s">
        <v>23</v>
      </c>
      <c r="C31" s="121">
        <v>12</v>
      </c>
      <c r="D31" s="3" t="s">
        <v>24</v>
      </c>
      <c r="E31" s="3"/>
      <c r="F31" s="3"/>
      <c r="G31" s="3"/>
      <c r="H31"/>
    </row>
    <row r="32" spans="2:11">
      <c r="B32" s="3" t="s">
        <v>25</v>
      </c>
      <c r="C32" s="121">
        <v>264</v>
      </c>
      <c r="D32" s="3" t="s">
        <v>26</v>
      </c>
      <c r="E32" s="3"/>
      <c r="F32" s="3"/>
      <c r="G32" s="3"/>
      <c r="H32"/>
    </row>
    <row r="33" spans="2:3">
      <c r="B33" s="1" t="s">
        <v>453</v>
      </c>
      <c r="C33" s="142">
        <v>0.2</v>
      </c>
    </row>
    <row r="34" spans="2:3">
      <c r="B34" s="1" t="s">
        <v>472</v>
      </c>
      <c r="C34" s="230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opLeftCell="A7" workbookViewId="0">
      <selection activeCell="B19" sqref="B19"/>
    </sheetView>
  </sheetViews>
  <sheetFormatPr baseColWidth="10" defaultRowHeight="15.75"/>
  <cols>
    <col min="1" max="1" width="47.140625" style="3" bestFit="1" customWidth="1"/>
    <col min="2" max="2" width="11.42578125" style="3"/>
    <col min="3" max="3" width="13.140625" style="3" customWidth="1"/>
    <col min="4" max="7" width="14.140625" style="3" bestFit="1" customWidth="1"/>
    <col min="8" max="9" width="13" style="3" bestFit="1" customWidth="1"/>
    <col min="10" max="10" width="11.42578125" style="3"/>
    <col min="11" max="255" width="11.42578125" style="108"/>
    <col min="256" max="256" width="26" style="108" customWidth="1"/>
    <col min="257" max="257" width="11.42578125" style="108"/>
    <col min="258" max="258" width="1.28515625" style="108" customWidth="1"/>
    <col min="259" max="259" width="9.5703125" style="108" customWidth="1"/>
    <col min="260" max="260" width="11.85546875" style="108" customWidth="1"/>
    <col min="261" max="263" width="11.140625" style="108" bestFit="1" customWidth="1"/>
    <col min="264" max="511" width="11.42578125" style="108"/>
    <col min="512" max="512" width="26" style="108" customWidth="1"/>
    <col min="513" max="513" width="11.42578125" style="108"/>
    <col min="514" max="514" width="1.28515625" style="108" customWidth="1"/>
    <col min="515" max="515" width="9.5703125" style="108" customWidth="1"/>
    <col min="516" max="516" width="11.85546875" style="108" customWidth="1"/>
    <col min="517" max="519" width="11.140625" style="108" bestFit="1" customWidth="1"/>
    <col min="520" max="767" width="11.42578125" style="108"/>
    <col min="768" max="768" width="26" style="108" customWidth="1"/>
    <col min="769" max="769" width="11.42578125" style="108"/>
    <col min="770" max="770" width="1.28515625" style="108" customWidth="1"/>
    <col min="771" max="771" width="9.5703125" style="108" customWidth="1"/>
    <col min="772" max="772" width="11.85546875" style="108" customWidth="1"/>
    <col min="773" max="775" width="11.140625" style="108" bestFit="1" customWidth="1"/>
    <col min="776" max="1023" width="11.42578125" style="108"/>
    <col min="1024" max="1024" width="26" style="108" customWidth="1"/>
    <col min="1025" max="1025" width="11.42578125" style="108"/>
    <col min="1026" max="1026" width="1.28515625" style="108" customWidth="1"/>
    <col min="1027" max="1027" width="9.5703125" style="108" customWidth="1"/>
    <col min="1028" max="1028" width="11.85546875" style="108" customWidth="1"/>
    <col min="1029" max="1031" width="11.140625" style="108" bestFit="1" customWidth="1"/>
    <col min="1032" max="1279" width="11.42578125" style="108"/>
    <col min="1280" max="1280" width="26" style="108" customWidth="1"/>
    <col min="1281" max="1281" width="11.42578125" style="108"/>
    <col min="1282" max="1282" width="1.28515625" style="108" customWidth="1"/>
    <col min="1283" max="1283" width="9.5703125" style="108" customWidth="1"/>
    <col min="1284" max="1284" width="11.85546875" style="108" customWidth="1"/>
    <col min="1285" max="1287" width="11.140625" style="108" bestFit="1" customWidth="1"/>
    <col min="1288" max="1535" width="11.42578125" style="108"/>
    <col min="1536" max="1536" width="26" style="108" customWidth="1"/>
    <col min="1537" max="1537" width="11.42578125" style="108"/>
    <col min="1538" max="1538" width="1.28515625" style="108" customWidth="1"/>
    <col min="1539" max="1539" width="9.5703125" style="108" customWidth="1"/>
    <col min="1540" max="1540" width="11.85546875" style="108" customWidth="1"/>
    <col min="1541" max="1543" width="11.140625" style="108" bestFit="1" customWidth="1"/>
    <col min="1544" max="1791" width="11.42578125" style="108"/>
    <col min="1792" max="1792" width="26" style="108" customWidth="1"/>
    <col min="1793" max="1793" width="11.42578125" style="108"/>
    <col min="1794" max="1794" width="1.28515625" style="108" customWidth="1"/>
    <col min="1795" max="1795" width="9.5703125" style="108" customWidth="1"/>
    <col min="1796" max="1796" width="11.85546875" style="108" customWidth="1"/>
    <col min="1797" max="1799" width="11.140625" style="108" bestFit="1" customWidth="1"/>
    <col min="1800" max="2047" width="11.42578125" style="108"/>
    <col min="2048" max="2048" width="26" style="108" customWidth="1"/>
    <col min="2049" max="2049" width="11.42578125" style="108"/>
    <col min="2050" max="2050" width="1.28515625" style="108" customWidth="1"/>
    <col min="2051" max="2051" width="9.5703125" style="108" customWidth="1"/>
    <col min="2052" max="2052" width="11.85546875" style="108" customWidth="1"/>
    <col min="2053" max="2055" width="11.140625" style="108" bestFit="1" customWidth="1"/>
    <col min="2056" max="2303" width="11.42578125" style="108"/>
    <col min="2304" max="2304" width="26" style="108" customWidth="1"/>
    <col min="2305" max="2305" width="11.42578125" style="108"/>
    <col min="2306" max="2306" width="1.28515625" style="108" customWidth="1"/>
    <col min="2307" max="2307" width="9.5703125" style="108" customWidth="1"/>
    <col min="2308" max="2308" width="11.85546875" style="108" customWidth="1"/>
    <col min="2309" max="2311" width="11.140625" style="108" bestFit="1" customWidth="1"/>
    <col min="2312" max="2559" width="11.42578125" style="108"/>
    <col min="2560" max="2560" width="26" style="108" customWidth="1"/>
    <col min="2561" max="2561" width="11.42578125" style="108"/>
    <col min="2562" max="2562" width="1.28515625" style="108" customWidth="1"/>
    <col min="2563" max="2563" width="9.5703125" style="108" customWidth="1"/>
    <col min="2564" max="2564" width="11.85546875" style="108" customWidth="1"/>
    <col min="2565" max="2567" width="11.140625" style="108" bestFit="1" customWidth="1"/>
    <col min="2568" max="2815" width="11.42578125" style="108"/>
    <col min="2816" max="2816" width="26" style="108" customWidth="1"/>
    <col min="2817" max="2817" width="11.42578125" style="108"/>
    <col min="2818" max="2818" width="1.28515625" style="108" customWidth="1"/>
    <col min="2819" max="2819" width="9.5703125" style="108" customWidth="1"/>
    <col min="2820" max="2820" width="11.85546875" style="108" customWidth="1"/>
    <col min="2821" max="2823" width="11.140625" style="108" bestFit="1" customWidth="1"/>
    <col min="2824" max="3071" width="11.42578125" style="108"/>
    <col min="3072" max="3072" width="26" style="108" customWidth="1"/>
    <col min="3073" max="3073" width="11.42578125" style="108"/>
    <col min="3074" max="3074" width="1.28515625" style="108" customWidth="1"/>
    <col min="3075" max="3075" width="9.5703125" style="108" customWidth="1"/>
    <col min="3076" max="3076" width="11.85546875" style="108" customWidth="1"/>
    <col min="3077" max="3079" width="11.140625" style="108" bestFit="1" customWidth="1"/>
    <col min="3080" max="3327" width="11.42578125" style="108"/>
    <col min="3328" max="3328" width="26" style="108" customWidth="1"/>
    <col min="3329" max="3329" width="11.42578125" style="108"/>
    <col min="3330" max="3330" width="1.28515625" style="108" customWidth="1"/>
    <col min="3331" max="3331" width="9.5703125" style="108" customWidth="1"/>
    <col min="3332" max="3332" width="11.85546875" style="108" customWidth="1"/>
    <col min="3333" max="3335" width="11.140625" style="108" bestFit="1" customWidth="1"/>
    <col min="3336" max="3583" width="11.42578125" style="108"/>
    <col min="3584" max="3584" width="26" style="108" customWidth="1"/>
    <col min="3585" max="3585" width="11.42578125" style="108"/>
    <col min="3586" max="3586" width="1.28515625" style="108" customWidth="1"/>
    <col min="3587" max="3587" width="9.5703125" style="108" customWidth="1"/>
    <col min="3588" max="3588" width="11.85546875" style="108" customWidth="1"/>
    <col min="3589" max="3591" width="11.140625" style="108" bestFit="1" customWidth="1"/>
    <col min="3592" max="3839" width="11.42578125" style="108"/>
    <col min="3840" max="3840" width="26" style="108" customWidth="1"/>
    <col min="3841" max="3841" width="11.42578125" style="108"/>
    <col min="3842" max="3842" width="1.28515625" style="108" customWidth="1"/>
    <col min="3843" max="3843" width="9.5703125" style="108" customWidth="1"/>
    <col min="3844" max="3844" width="11.85546875" style="108" customWidth="1"/>
    <col min="3845" max="3847" width="11.140625" style="108" bestFit="1" customWidth="1"/>
    <col min="3848" max="4095" width="11.42578125" style="108"/>
    <col min="4096" max="4096" width="26" style="108" customWidth="1"/>
    <col min="4097" max="4097" width="11.42578125" style="108"/>
    <col min="4098" max="4098" width="1.28515625" style="108" customWidth="1"/>
    <col min="4099" max="4099" width="9.5703125" style="108" customWidth="1"/>
    <col min="4100" max="4100" width="11.85546875" style="108" customWidth="1"/>
    <col min="4101" max="4103" width="11.140625" style="108" bestFit="1" customWidth="1"/>
    <col min="4104" max="4351" width="11.42578125" style="108"/>
    <col min="4352" max="4352" width="26" style="108" customWidth="1"/>
    <col min="4353" max="4353" width="11.42578125" style="108"/>
    <col min="4354" max="4354" width="1.28515625" style="108" customWidth="1"/>
    <col min="4355" max="4355" width="9.5703125" style="108" customWidth="1"/>
    <col min="4356" max="4356" width="11.85546875" style="108" customWidth="1"/>
    <col min="4357" max="4359" width="11.140625" style="108" bestFit="1" customWidth="1"/>
    <col min="4360" max="4607" width="11.42578125" style="108"/>
    <col min="4608" max="4608" width="26" style="108" customWidth="1"/>
    <col min="4609" max="4609" width="11.42578125" style="108"/>
    <col min="4610" max="4610" width="1.28515625" style="108" customWidth="1"/>
    <col min="4611" max="4611" width="9.5703125" style="108" customWidth="1"/>
    <col min="4612" max="4612" width="11.85546875" style="108" customWidth="1"/>
    <col min="4613" max="4615" width="11.140625" style="108" bestFit="1" customWidth="1"/>
    <col min="4616" max="4863" width="11.42578125" style="108"/>
    <col min="4864" max="4864" width="26" style="108" customWidth="1"/>
    <col min="4865" max="4865" width="11.42578125" style="108"/>
    <col min="4866" max="4866" width="1.28515625" style="108" customWidth="1"/>
    <col min="4867" max="4867" width="9.5703125" style="108" customWidth="1"/>
    <col min="4868" max="4868" width="11.85546875" style="108" customWidth="1"/>
    <col min="4869" max="4871" width="11.140625" style="108" bestFit="1" customWidth="1"/>
    <col min="4872" max="5119" width="11.42578125" style="108"/>
    <col min="5120" max="5120" width="26" style="108" customWidth="1"/>
    <col min="5121" max="5121" width="11.42578125" style="108"/>
    <col min="5122" max="5122" width="1.28515625" style="108" customWidth="1"/>
    <col min="5123" max="5123" width="9.5703125" style="108" customWidth="1"/>
    <col min="5124" max="5124" width="11.85546875" style="108" customWidth="1"/>
    <col min="5125" max="5127" width="11.140625" style="108" bestFit="1" customWidth="1"/>
    <col min="5128" max="5375" width="11.42578125" style="108"/>
    <col min="5376" max="5376" width="26" style="108" customWidth="1"/>
    <col min="5377" max="5377" width="11.42578125" style="108"/>
    <col min="5378" max="5378" width="1.28515625" style="108" customWidth="1"/>
    <col min="5379" max="5379" width="9.5703125" style="108" customWidth="1"/>
    <col min="5380" max="5380" width="11.85546875" style="108" customWidth="1"/>
    <col min="5381" max="5383" width="11.140625" style="108" bestFit="1" customWidth="1"/>
    <col min="5384" max="5631" width="11.42578125" style="108"/>
    <col min="5632" max="5632" width="26" style="108" customWidth="1"/>
    <col min="5633" max="5633" width="11.42578125" style="108"/>
    <col min="5634" max="5634" width="1.28515625" style="108" customWidth="1"/>
    <col min="5635" max="5635" width="9.5703125" style="108" customWidth="1"/>
    <col min="5636" max="5636" width="11.85546875" style="108" customWidth="1"/>
    <col min="5637" max="5639" width="11.140625" style="108" bestFit="1" customWidth="1"/>
    <col min="5640" max="5887" width="11.42578125" style="108"/>
    <col min="5888" max="5888" width="26" style="108" customWidth="1"/>
    <col min="5889" max="5889" width="11.42578125" style="108"/>
    <col min="5890" max="5890" width="1.28515625" style="108" customWidth="1"/>
    <col min="5891" max="5891" width="9.5703125" style="108" customWidth="1"/>
    <col min="5892" max="5892" width="11.85546875" style="108" customWidth="1"/>
    <col min="5893" max="5895" width="11.140625" style="108" bestFit="1" customWidth="1"/>
    <col min="5896" max="6143" width="11.42578125" style="108"/>
    <col min="6144" max="6144" width="26" style="108" customWidth="1"/>
    <col min="6145" max="6145" width="11.42578125" style="108"/>
    <col min="6146" max="6146" width="1.28515625" style="108" customWidth="1"/>
    <col min="6147" max="6147" width="9.5703125" style="108" customWidth="1"/>
    <col min="6148" max="6148" width="11.85546875" style="108" customWidth="1"/>
    <col min="6149" max="6151" width="11.140625" style="108" bestFit="1" customWidth="1"/>
    <col min="6152" max="6399" width="11.42578125" style="108"/>
    <col min="6400" max="6400" width="26" style="108" customWidth="1"/>
    <col min="6401" max="6401" width="11.42578125" style="108"/>
    <col min="6402" max="6402" width="1.28515625" style="108" customWidth="1"/>
    <col min="6403" max="6403" width="9.5703125" style="108" customWidth="1"/>
    <col min="6404" max="6404" width="11.85546875" style="108" customWidth="1"/>
    <col min="6405" max="6407" width="11.140625" style="108" bestFit="1" customWidth="1"/>
    <col min="6408" max="6655" width="11.42578125" style="108"/>
    <col min="6656" max="6656" width="26" style="108" customWidth="1"/>
    <col min="6657" max="6657" width="11.42578125" style="108"/>
    <col min="6658" max="6658" width="1.28515625" style="108" customWidth="1"/>
    <col min="6659" max="6659" width="9.5703125" style="108" customWidth="1"/>
    <col min="6660" max="6660" width="11.85546875" style="108" customWidth="1"/>
    <col min="6661" max="6663" width="11.140625" style="108" bestFit="1" customWidth="1"/>
    <col min="6664" max="6911" width="11.42578125" style="108"/>
    <col min="6912" max="6912" width="26" style="108" customWidth="1"/>
    <col min="6913" max="6913" width="11.42578125" style="108"/>
    <col min="6914" max="6914" width="1.28515625" style="108" customWidth="1"/>
    <col min="6915" max="6915" width="9.5703125" style="108" customWidth="1"/>
    <col min="6916" max="6916" width="11.85546875" style="108" customWidth="1"/>
    <col min="6917" max="6919" width="11.140625" style="108" bestFit="1" customWidth="1"/>
    <col min="6920" max="7167" width="11.42578125" style="108"/>
    <col min="7168" max="7168" width="26" style="108" customWidth="1"/>
    <col min="7169" max="7169" width="11.42578125" style="108"/>
    <col min="7170" max="7170" width="1.28515625" style="108" customWidth="1"/>
    <col min="7171" max="7171" width="9.5703125" style="108" customWidth="1"/>
    <col min="7172" max="7172" width="11.85546875" style="108" customWidth="1"/>
    <col min="7173" max="7175" width="11.140625" style="108" bestFit="1" customWidth="1"/>
    <col min="7176" max="7423" width="11.42578125" style="108"/>
    <col min="7424" max="7424" width="26" style="108" customWidth="1"/>
    <col min="7425" max="7425" width="11.42578125" style="108"/>
    <col min="7426" max="7426" width="1.28515625" style="108" customWidth="1"/>
    <col min="7427" max="7427" width="9.5703125" style="108" customWidth="1"/>
    <col min="7428" max="7428" width="11.85546875" style="108" customWidth="1"/>
    <col min="7429" max="7431" width="11.140625" style="108" bestFit="1" customWidth="1"/>
    <col min="7432" max="7679" width="11.42578125" style="108"/>
    <col min="7680" max="7680" width="26" style="108" customWidth="1"/>
    <col min="7681" max="7681" width="11.42578125" style="108"/>
    <col min="7682" max="7682" width="1.28515625" style="108" customWidth="1"/>
    <col min="7683" max="7683" width="9.5703125" style="108" customWidth="1"/>
    <col min="7684" max="7684" width="11.85546875" style="108" customWidth="1"/>
    <col min="7685" max="7687" width="11.140625" style="108" bestFit="1" customWidth="1"/>
    <col min="7688" max="7935" width="11.42578125" style="108"/>
    <col min="7936" max="7936" width="26" style="108" customWidth="1"/>
    <col min="7937" max="7937" width="11.42578125" style="108"/>
    <col min="7938" max="7938" width="1.28515625" style="108" customWidth="1"/>
    <col min="7939" max="7939" width="9.5703125" style="108" customWidth="1"/>
    <col min="7940" max="7940" width="11.85546875" style="108" customWidth="1"/>
    <col min="7941" max="7943" width="11.140625" style="108" bestFit="1" customWidth="1"/>
    <col min="7944" max="8191" width="11.42578125" style="108"/>
    <col min="8192" max="8192" width="26" style="108" customWidth="1"/>
    <col min="8193" max="8193" width="11.42578125" style="108"/>
    <col min="8194" max="8194" width="1.28515625" style="108" customWidth="1"/>
    <col min="8195" max="8195" width="9.5703125" style="108" customWidth="1"/>
    <col min="8196" max="8196" width="11.85546875" style="108" customWidth="1"/>
    <col min="8197" max="8199" width="11.140625" style="108" bestFit="1" customWidth="1"/>
    <col min="8200" max="8447" width="11.42578125" style="108"/>
    <col min="8448" max="8448" width="26" style="108" customWidth="1"/>
    <col min="8449" max="8449" width="11.42578125" style="108"/>
    <col min="8450" max="8450" width="1.28515625" style="108" customWidth="1"/>
    <col min="8451" max="8451" width="9.5703125" style="108" customWidth="1"/>
    <col min="8452" max="8452" width="11.85546875" style="108" customWidth="1"/>
    <col min="8453" max="8455" width="11.140625" style="108" bestFit="1" customWidth="1"/>
    <col min="8456" max="8703" width="11.42578125" style="108"/>
    <col min="8704" max="8704" width="26" style="108" customWidth="1"/>
    <col min="8705" max="8705" width="11.42578125" style="108"/>
    <col min="8706" max="8706" width="1.28515625" style="108" customWidth="1"/>
    <col min="8707" max="8707" width="9.5703125" style="108" customWidth="1"/>
    <col min="8708" max="8708" width="11.85546875" style="108" customWidth="1"/>
    <col min="8709" max="8711" width="11.140625" style="108" bestFit="1" customWidth="1"/>
    <col min="8712" max="8959" width="11.42578125" style="108"/>
    <col min="8960" max="8960" width="26" style="108" customWidth="1"/>
    <col min="8961" max="8961" width="11.42578125" style="108"/>
    <col min="8962" max="8962" width="1.28515625" style="108" customWidth="1"/>
    <col min="8963" max="8963" width="9.5703125" style="108" customWidth="1"/>
    <col min="8964" max="8964" width="11.85546875" style="108" customWidth="1"/>
    <col min="8965" max="8967" width="11.140625" style="108" bestFit="1" customWidth="1"/>
    <col min="8968" max="9215" width="11.42578125" style="108"/>
    <col min="9216" max="9216" width="26" style="108" customWidth="1"/>
    <col min="9217" max="9217" width="11.42578125" style="108"/>
    <col min="9218" max="9218" width="1.28515625" style="108" customWidth="1"/>
    <col min="9219" max="9219" width="9.5703125" style="108" customWidth="1"/>
    <col min="9220" max="9220" width="11.85546875" style="108" customWidth="1"/>
    <col min="9221" max="9223" width="11.140625" style="108" bestFit="1" customWidth="1"/>
    <col min="9224" max="9471" width="11.42578125" style="108"/>
    <col min="9472" max="9472" width="26" style="108" customWidth="1"/>
    <col min="9473" max="9473" width="11.42578125" style="108"/>
    <col min="9474" max="9474" width="1.28515625" style="108" customWidth="1"/>
    <col min="9475" max="9475" width="9.5703125" style="108" customWidth="1"/>
    <col min="9476" max="9476" width="11.85546875" style="108" customWidth="1"/>
    <col min="9477" max="9479" width="11.140625" style="108" bestFit="1" customWidth="1"/>
    <col min="9480" max="9727" width="11.42578125" style="108"/>
    <col min="9728" max="9728" width="26" style="108" customWidth="1"/>
    <col min="9729" max="9729" width="11.42578125" style="108"/>
    <col min="9730" max="9730" width="1.28515625" style="108" customWidth="1"/>
    <col min="9731" max="9731" width="9.5703125" style="108" customWidth="1"/>
    <col min="9732" max="9732" width="11.85546875" style="108" customWidth="1"/>
    <col min="9733" max="9735" width="11.140625" style="108" bestFit="1" customWidth="1"/>
    <col min="9736" max="9983" width="11.42578125" style="108"/>
    <col min="9984" max="9984" width="26" style="108" customWidth="1"/>
    <col min="9985" max="9985" width="11.42578125" style="108"/>
    <col min="9986" max="9986" width="1.28515625" style="108" customWidth="1"/>
    <col min="9987" max="9987" width="9.5703125" style="108" customWidth="1"/>
    <col min="9988" max="9988" width="11.85546875" style="108" customWidth="1"/>
    <col min="9989" max="9991" width="11.140625" style="108" bestFit="1" customWidth="1"/>
    <col min="9992" max="10239" width="11.42578125" style="108"/>
    <col min="10240" max="10240" width="26" style="108" customWidth="1"/>
    <col min="10241" max="10241" width="11.42578125" style="108"/>
    <col min="10242" max="10242" width="1.28515625" style="108" customWidth="1"/>
    <col min="10243" max="10243" width="9.5703125" style="108" customWidth="1"/>
    <col min="10244" max="10244" width="11.85546875" style="108" customWidth="1"/>
    <col min="10245" max="10247" width="11.140625" style="108" bestFit="1" customWidth="1"/>
    <col min="10248" max="10495" width="11.42578125" style="108"/>
    <col min="10496" max="10496" width="26" style="108" customWidth="1"/>
    <col min="10497" max="10497" width="11.42578125" style="108"/>
    <col min="10498" max="10498" width="1.28515625" style="108" customWidth="1"/>
    <col min="10499" max="10499" width="9.5703125" style="108" customWidth="1"/>
    <col min="10500" max="10500" width="11.85546875" style="108" customWidth="1"/>
    <col min="10501" max="10503" width="11.140625" style="108" bestFit="1" customWidth="1"/>
    <col min="10504" max="10751" width="11.42578125" style="108"/>
    <col min="10752" max="10752" width="26" style="108" customWidth="1"/>
    <col min="10753" max="10753" width="11.42578125" style="108"/>
    <col min="10754" max="10754" width="1.28515625" style="108" customWidth="1"/>
    <col min="10755" max="10755" width="9.5703125" style="108" customWidth="1"/>
    <col min="10756" max="10756" width="11.85546875" style="108" customWidth="1"/>
    <col min="10757" max="10759" width="11.140625" style="108" bestFit="1" customWidth="1"/>
    <col min="10760" max="11007" width="11.42578125" style="108"/>
    <col min="11008" max="11008" width="26" style="108" customWidth="1"/>
    <col min="11009" max="11009" width="11.42578125" style="108"/>
    <col min="11010" max="11010" width="1.28515625" style="108" customWidth="1"/>
    <col min="11011" max="11011" width="9.5703125" style="108" customWidth="1"/>
    <col min="11012" max="11012" width="11.85546875" style="108" customWidth="1"/>
    <col min="11013" max="11015" width="11.140625" style="108" bestFit="1" customWidth="1"/>
    <col min="11016" max="11263" width="11.42578125" style="108"/>
    <col min="11264" max="11264" width="26" style="108" customWidth="1"/>
    <col min="11265" max="11265" width="11.42578125" style="108"/>
    <col min="11266" max="11266" width="1.28515625" style="108" customWidth="1"/>
    <col min="11267" max="11267" width="9.5703125" style="108" customWidth="1"/>
    <col min="11268" max="11268" width="11.85546875" style="108" customWidth="1"/>
    <col min="11269" max="11271" width="11.140625" style="108" bestFit="1" customWidth="1"/>
    <col min="11272" max="11519" width="11.42578125" style="108"/>
    <col min="11520" max="11520" width="26" style="108" customWidth="1"/>
    <col min="11521" max="11521" width="11.42578125" style="108"/>
    <col min="11522" max="11522" width="1.28515625" style="108" customWidth="1"/>
    <col min="11523" max="11523" width="9.5703125" style="108" customWidth="1"/>
    <col min="11524" max="11524" width="11.85546875" style="108" customWidth="1"/>
    <col min="11525" max="11527" width="11.140625" style="108" bestFit="1" customWidth="1"/>
    <col min="11528" max="11775" width="11.42578125" style="108"/>
    <col min="11776" max="11776" width="26" style="108" customWidth="1"/>
    <col min="11777" max="11777" width="11.42578125" style="108"/>
    <col min="11778" max="11778" width="1.28515625" style="108" customWidth="1"/>
    <col min="11779" max="11779" width="9.5703125" style="108" customWidth="1"/>
    <col min="11780" max="11780" width="11.85546875" style="108" customWidth="1"/>
    <col min="11781" max="11783" width="11.140625" style="108" bestFit="1" customWidth="1"/>
    <col min="11784" max="12031" width="11.42578125" style="108"/>
    <col min="12032" max="12032" width="26" style="108" customWidth="1"/>
    <col min="12033" max="12033" width="11.42578125" style="108"/>
    <col min="12034" max="12034" width="1.28515625" style="108" customWidth="1"/>
    <col min="12035" max="12035" width="9.5703125" style="108" customWidth="1"/>
    <col min="12036" max="12036" width="11.85546875" style="108" customWidth="1"/>
    <col min="12037" max="12039" width="11.140625" style="108" bestFit="1" customWidth="1"/>
    <col min="12040" max="12287" width="11.42578125" style="108"/>
    <col min="12288" max="12288" width="26" style="108" customWidth="1"/>
    <col min="12289" max="12289" width="11.42578125" style="108"/>
    <col min="12290" max="12290" width="1.28515625" style="108" customWidth="1"/>
    <col min="12291" max="12291" width="9.5703125" style="108" customWidth="1"/>
    <col min="12292" max="12292" width="11.85546875" style="108" customWidth="1"/>
    <col min="12293" max="12295" width="11.140625" style="108" bestFit="1" customWidth="1"/>
    <col min="12296" max="12543" width="11.42578125" style="108"/>
    <col min="12544" max="12544" width="26" style="108" customWidth="1"/>
    <col min="12545" max="12545" width="11.42578125" style="108"/>
    <col min="12546" max="12546" width="1.28515625" style="108" customWidth="1"/>
    <col min="12547" max="12547" width="9.5703125" style="108" customWidth="1"/>
    <col min="12548" max="12548" width="11.85546875" style="108" customWidth="1"/>
    <col min="12549" max="12551" width="11.140625" style="108" bestFit="1" customWidth="1"/>
    <col min="12552" max="12799" width="11.42578125" style="108"/>
    <col min="12800" max="12800" width="26" style="108" customWidth="1"/>
    <col min="12801" max="12801" width="11.42578125" style="108"/>
    <col min="12802" max="12802" width="1.28515625" style="108" customWidth="1"/>
    <col min="12803" max="12803" width="9.5703125" style="108" customWidth="1"/>
    <col min="12804" max="12804" width="11.85546875" style="108" customWidth="1"/>
    <col min="12805" max="12807" width="11.140625" style="108" bestFit="1" customWidth="1"/>
    <col min="12808" max="13055" width="11.42578125" style="108"/>
    <col min="13056" max="13056" width="26" style="108" customWidth="1"/>
    <col min="13057" max="13057" width="11.42578125" style="108"/>
    <col min="13058" max="13058" width="1.28515625" style="108" customWidth="1"/>
    <col min="13059" max="13059" width="9.5703125" style="108" customWidth="1"/>
    <col min="13060" max="13060" width="11.85546875" style="108" customWidth="1"/>
    <col min="13061" max="13063" width="11.140625" style="108" bestFit="1" customWidth="1"/>
    <col min="13064" max="13311" width="11.42578125" style="108"/>
    <col min="13312" max="13312" width="26" style="108" customWidth="1"/>
    <col min="13313" max="13313" width="11.42578125" style="108"/>
    <col min="13314" max="13314" width="1.28515625" style="108" customWidth="1"/>
    <col min="13315" max="13315" width="9.5703125" style="108" customWidth="1"/>
    <col min="13316" max="13316" width="11.85546875" style="108" customWidth="1"/>
    <col min="13317" max="13319" width="11.140625" style="108" bestFit="1" customWidth="1"/>
    <col min="13320" max="13567" width="11.42578125" style="108"/>
    <col min="13568" max="13568" width="26" style="108" customWidth="1"/>
    <col min="13569" max="13569" width="11.42578125" style="108"/>
    <col min="13570" max="13570" width="1.28515625" style="108" customWidth="1"/>
    <col min="13571" max="13571" width="9.5703125" style="108" customWidth="1"/>
    <col min="13572" max="13572" width="11.85546875" style="108" customWidth="1"/>
    <col min="13573" max="13575" width="11.140625" style="108" bestFit="1" customWidth="1"/>
    <col min="13576" max="13823" width="11.42578125" style="108"/>
    <col min="13824" max="13824" width="26" style="108" customWidth="1"/>
    <col min="13825" max="13825" width="11.42578125" style="108"/>
    <col min="13826" max="13826" width="1.28515625" style="108" customWidth="1"/>
    <col min="13827" max="13827" width="9.5703125" style="108" customWidth="1"/>
    <col min="13828" max="13828" width="11.85546875" style="108" customWidth="1"/>
    <col min="13829" max="13831" width="11.140625" style="108" bestFit="1" customWidth="1"/>
    <col min="13832" max="14079" width="11.42578125" style="108"/>
    <col min="14080" max="14080" width="26" style="108" customWidth="1"/>
    <col min="14081" max="14081" width="11.42578125" style="108"/>
    <col min="14082" max="14082" width="1.28515625" style="108" customWidth="1"/>
    <col min="14083" max="14083" width="9.5703125" style="108" customWidth="1"/>
    <col min="14084" max="14084" width="11.85546875" style="108" customWidth="1"/>
    <col min="14085" max="14087" width="11.140625" style="108" bestFit="1" customWidth="1"/>
    <col min="14088" max="14335" width="11.42578125" style="108"/>
    <col min="14336" max="14336" width="26" style="108" customWidth="1"/>
    <col min="14337" max="14337" width="11.42578125" style="108"/>
    <col min="14338" max="14338" width="1.28515625" style="108" customWidth="1"/>
    <col min="14339" max="14339" width="9.5703125" style="108" customWidth="1"/>
    <col min="14340" max="14340" width="11.85546875" style="108" customWidth="1"/>
    <col min="14341" max="14343" width="11.140625" style="108" bestFit="1" customWidth="1"/>
    <col min="14344" max="14591" width="11.42578125" style="108"/>
    <col min="14592" max="14592" width="26" style="108" customWidth="1"/>
    <col min="14593" max="14593" width="11.42578125" style="108"/>
    <col min="14594" max="14594" width="1.28515625" style="108" customWidth="1"/>
    <col min="14595" max="14595" width="9.5703125" style="108" customWidth="1"/>
    <col min="14596" max="14596" width="11.85546875" style="108" customWidth="1"/>
    <col min="14597" max="14599" width="11.140625" style="108" bestFit="1" customWidth="1"/>
    <col min="14600" max="14847" width="11.42578125" style="108"/>
    <col min="14848" max="14848" width="26" style="108" customWidth="1"/>
    <col min="14849" max="14849" width="11.42578125" style="108"/>
    <col min="14850" max="14850" width="1.28515625" style="108" customWidth="1"/>
    <col min="14851" max="14851" width="9.5703125" style="108" customWidth="1"/>
    <col min="14852" max="14852" width="11.85546875" style="108" customWidth="1"/>
    <col min="14853" max="14855" width="11.140625" style="108" bestFit="1" customWidth="1"/>
    <col min="14856" max="15103" width="11.42578125" style="108"/>
    <col min="15104" max="15104" width="26" style="108" customWidth="1"/>
    <col min="15105" max="15105" width="11.42578125" style="108"/>
    <col min="15106" max="15106" width="1.28515625" style="108" customWidth="1"/>
    <col min="15107" max="15107" width="9.5703125" style="108" customWidth="1"/>
    <col min="15108" max="15108" width="11.85546875" style="108" customWidth="1"/>
    <col min="15109" max="15111" width="11.140625" style="108" bestFit="1" customWidth="1"/>
    <col min="15112" max="15359" width="11.42578125" style="108"/>
    <col min="15360" max="15360" width="26" style="108" customWidth="1"/>
    <col min="15361" max="15361" width="11.42578125" style="108"/>
    <col min="15362" max="15362" width="1.28515625" style="108" customWidth="1"/>
    <col min="15363" max="15363" width="9.5703125" style="108" customWidth="1"/>
    <col min="15364" max="15364" width="11.85546875" style="108" customWidth="1"/>
    <col min="15365" max="15367" width="11.140625" style="108" bestFit="1" customWidth="1"/>
    <col min="15368" max="15615" width="11.42578125" style="108"/>
    <col min="15616" max="15616" width="26" style="108" customWidth="1"/>
    <col min="15617" max="15617" width="11.42578125" style="108"/>
    <col min="15618" max="15618" width="1.28515625" style="108" customWidth="1"/>
    <col min="15619" max="15619" width="9.5703125" style="108" customWidth="1"/>
    <col min="15620" max="15620" width="11.85546875" style="108" customWidth="1"/>
    <col min="15621" max="15623" width="11.140625" style="108" bestFit="1" customWidth="1"/>
    <col min="15624" max="15871" width="11.42578125" style="108"/>
    <col min="15872" max="15872" width="26" style="108" customWidth="1"/>
    <col min="15873" max="15873" width="11.42578125" style="108"/>
    <col min="15874" max="15874" width="1.28515625" style="108" customWidth="1"/>
    <col min="15875" max="15875" width="9.5703125" style="108" customWidth="1"/>
    <col min="15876" max="15876" width="11.85546875" style="108" customWidth="1"/>
    <col min="15877" max="15879" width="11.140625" style="108" bestFit="1" customWidth="1"/>
    <col min="15880" max="16127" width="11.42578125" style="108"/>
    <col min="16128" max="16128" width="26" style="108" customWidth="1"/>
    <col min="16129" max="16129" width="11.42578125" style="108"/>
    <col min="16130" max="16130" width="1.28515625" style="108" customWidth="1"/>
    <col min="16131" max="16131" width="9.5703125" style="108" customWidth="1"/>
    <col min="16132" max="16132" width="11.85546875" style="108" customWidth="1"/>
    <col min="16133" max="16135" width="11.140625" style="108" bestFit="1" customWidth="1"/>
    <col min="16136" max="16384" width="11.42578125" style="108"/>
  </cols>
  <sheetData>
    <row r="1" spans="1:11" ht="29.25" customHeight="1">
      <c r="A1" s="2"/>
    </row>
    <row r="2" spans="1:11" s="136" customFormat="1">
      <c r="A2" s="294" t="s">
        <v>237</v>
      </c>
      <c r="B2" s="294"/>
      <c r="C2" s="294"/>
      <c r="D2" s="294"/>
      <c r="E2" s="294"/>
      <c r="F2" s="294"/>
      <c r="G2" s="294"/>
      <c r="H2" s="2"/>
      <c r="I2" s="2"/>
      <c r="J2" s="2"/>
    </row>
    <row r="3" spans="1:11" ht="18.75" customHeight="1"/>
    <row r="4" spans="1:11" ht="30.75" customHeight="1">
      <c r="B4" s="8" t="s">
        <v>199</v>
      </c>
      <c r="C4" s="146" t="s">
        <v>1</v>
      </c>
      <c r="D4" s="229" t="s">
        <v>32</v>
      </c>
      <c r="E4" s="229" t="s">
        <v>3</v>
      </c>
      <c r="F4" s="229" t="s">
        <v>33</v>
      </c>
      <c r="G4" s="229" t="s">
        <v>34</v>
      </c>
      <c r="H4" s="229" t="s">
        <v>35</v>
      </c>
      <c r="K4" s="3"/>
    </row>
    <row r="5" spans="1:11" ht="15.95" customHeight="1">
      <c r="A5" s="7" t="s">
        <v>238</v>
      </c>
      <c r="B5" s="7"/>
      <c r="C5" s="12"/>
      <c r="D5" s="11">
        <f>'C1'!D19</f>
        <v>1164.0239999999999</v>
      </c>
      <c r="E5" s="11">
        <f>'C1'!E19</f>
        <v>2040</v>
      </c>
      <c r="F5" s="11">
        <f>'C1'!F19</f>
        <v>4080</v>
      </c>
      <c r="G5" s="11">
        <f>'C1'!G19</f>
        <v>4080</v>
      </c>
      <c r="H5" s="11">
        <f>'C1'!H19</f>
        <v>4080</v>
      </c>
      <c r="K5" s="3"/>
    </row>
    <row r="6" spans="1:11" ht="15.95" customHeight="1">
      <c r="A6" s="7" t="s">
        <v>321</v>
      </c>
      <c r="B6" s="7"/>
      <c r="C6" s="12"/>
      <c r="D6" s="11"/>
      <c r="E6" s="11"/>
      <c r="F6" s="11"/>
      <c r="G6" s="11"/>
      <c r="H6" s="11"/>
      <c r="K6" s="3"/>
    </row>
    <row r="7" spans="1:11" ht="15.95" customHeight="1">
      <c r="A7" s="9" t="s">
        <v>324</v>
      </c>
      <c r="B7" s="8" t="s">
        <v>199</v>
      </c>
      <c r="C7" s="270">
        <f>417.71+235.37+28.44</f>
        <v>681.52</v>
      </c>
      <c r="D7" s="215">
        <f>C7*$D$5</f>
        <v>793305.63647999987</v>
      </c>
      <c r="E7" s="127">
        <f t="shared" ref="E7:E15" si="0">($E$5*D7*(1+$B$24)/$D$5)</f>
        <v>1807391.0399999998</v>
      </c>
      <c r="F7" s="127">
        <f t="shared" ref="F7:H15" si="1">E7*(1+$B$24)</f>
        <v>2349608.352</v>
      </c>
      <c r="G7" s="127">
        <f t="shared" si="1"/>
        <v>3054490.8576000002</v>
      </c>
      <c r="H7" s="127">
        <f t="shared" si="1"/>
        <v>3970838.1148800002</v>
      </c>
      <c r="K7" s="3"/>
    </row>
    <row r="8" spans="1:11" ht="15.95" customHeight="1">
      <c r="A8" s="9" t="s">
        <v>325</v>
      </c>
      <c r="B8" s="8" t="s">
        <v>199</v>
      </c>
      <c r="C8" s="270">
        <v>26.638762886597938</v>
      </c>
      <c r="D8" s="215">
        <f t="shared" ref="D8:D12" si="2">C8*$D$5</f>
        <v>31008.159330309274</v>
      </c>
      <c r="E8" s="127">
        <f t="shared" si="0"/>
        <v>70645.999175257733</v>
      </c>
      <c r="F8" s="127">
        <f t="shared" si="1"/>
        <v>91839.798927835058</v>
      </c>
      <c r="G8" s="127">
        <f t="shared" si="1"/>
        <v>119391.73860618558</v>
      </c>
      <c r="H8" s="127">
        <f t="shared" si="1"/>
        <v>155209.26018804125</v>
      </c>
      <c r="K8" s="3"/>
    </row>
    <row r="9" spans="1:11" ht="15.95" customHeight="1">
      <c r="A9" s="152" t="s">
        <v>326</v>
      </c>
      <c r="B9" s="8" t="s">
        <v>199</v>
      </c>
      <c r="C9" s="270">
        <v>13.911340206185566</v>
      </c>
      <c r="D9" s="215">
        <f t="shared" si="2"/>
        <v>16193.133872164944</v>
      </c>
      <c r="E9" s="127">
        <f t="shared" si="0"/>
        <v>36892.874226804117</v>
      </c>
      <c r="F9" s="127">
        <f t="shared" si="1"/>
        <v>47960.736494845354</v>
      </c>
      <c r="G9" s="127">
        <f t="shared" si="1"/>
        <v>62348.957443298961</v>
      </c>
      <c r="H9" s="127">
        <f t="shared" si="1"/>
        <v>81053.644676288648</v>
      </c>
      <c r="K9" s="3"/>
    </row>
    <row r="10" spans="1:11" ht="15.95" customHeight="1">
      <c r="A10" s="9" t="s">
        <v>327</v>
      </c>
      <c r="B10" s="8" t="s">
        <v>199</v>
      </c>
      <c r="C10" s="270">
        <v>90.995876288659787</v>
      </c>
      <c r="D10" s="215">
        <f t="shared" si="2"/>
        <v>105921.3839010309</v>
      </c>
      <c r="E10" s="127">
        <f t="shared" si="0"/>
        <v>241321.06391752575</v>
      </c>
      <c r="F10" s="127">
        <f t="shared" si="1"/>
        <v>313717.38309278351</v>
      </c>
      <c r="G10" s="127">
        <f t="shared" si="1"/>
        <v>407832.59802061855</v>
      </c>
      <c r="H10" s="127">
        <f t="shared" si="1"/>
        <v>530182.37742680416</v>
      </c>
      <c r="J10" s="118"/>
      <c r="K10"/>
    </row>
    <row r="11" spans="1:11" ht="15.95" customHeight="1">
      <c r="A11" s="108" t="s">
        <v>328</v>
      </c>
      <c r="B11" s="8" t="s">
        <v>199</v>
      </c>
      <c r="C11" s="270">
        <v>63.525773195876283</v>
      </c>
      <c r="D11" s="215">
        <f t="shared" si="2"/>
        <v>73945.524618556694</v>
      </c>
      <c r="E11" s="127">
        <f t="shared" si="0"/>
        <v>168470.35051546394</v>
      </c>
      <c r="F11" s="127">
        <f t="shared" si="1"/>
        <v>219011.45567010314</v>
      </c>
      <c r="G11" s="127">
        <f t="shared" si="1"/>
        <v>284714.89237113408</v>
      </c>
      <c r="H11" s="127">
        <f t="shared" si="1"/>
        <v>370129.3600824743</v>
      </c>
      <c r="J11" s="118"/>
      <c r="K11"/>
    </row>
    <row r="12" spans="1:11" ht="15.95" customHeight="1">
      <c r="A12" s="9" t="s">
        <v>475</v>
      </c>
      <c r="B12" s="8" t="s">
        <v>199</v>
      </c>
      <c r="C12" s="270">
        <v>13</v>
      </c>
      <c r="D12" s="232">
        <f t="shared" si="2"/>
        <v>15132.311999999998</v>
      </c>
      <c r="E12" s="127">
        <f t="shared" si="0"/>
        <v>34476</v>
      </c>
      <c r="F12" s="127">
        <f t="shared" si="1"/>
        <v>44818.8</v>
      </c>
      <c r="G12" s="127">
        <f t="shared" si="1"/>
        <v>58264.44</v>
      </c>
      <c r="H12" s="127">
        <f t="shared" si="1"/>
        <v>75743.772000000012</v>
      </c>
      <c r="J12" s="118"/>
      <c r="K12"/>
    </row>
    <row r="13" spans="1:11" ht="15.95" customHeight="1">
      <c r="A13" s="9" t="s">
        <v>476</v>
      </c>
      <c r="B13" s="8" t="s">
        <v>203</v>
      </c>
      <c r="C13" s="270">
        <v>33.86</v>
      </c>
      <c r="D13" s="232">
        <f>C13*$D$5</f>
        <v>39413.852639999997</v>
      </c>
      <c r="E13" s="127">
        <f t="shared" si="0"/>
        <v>89796.72</v>
      </c>
      <c r="F13" s="127">
        <f t="shared" si="1"/>
        <v>116735.736</v>
      </c>
      <c r="G13" s="127">
        <f t="shared" si="1"/>
        <v>151756.45680000001</v>
      </c>
      <c r="H13" s="127">
        <f t="shared" si="1"/>
        <v>197283.39384000003</v>
      </c>
      <c r="J13" s="118"/>
      <c r="K13"/>
    </row>
    <row r="14" spans="1:11" ht="15.95" customHeight="1">
      <c r="A14" s="9" t="s">
        <v>478</v>
      </c>
      <c r="B14" s="8" t="s">
        <v>203</v>
      </c>
      <c r="C14" s="270">
        <v>16.922889906049999</v>
      </c>
      <c r="D14" s="232">
        <f>C14*D5</f>
        <v>19698.649999999943</v>
      </c>
      <c r="E14" s="127">
        <f t="shared" si="0"/>
        <v>44879.504030844597</v>
      </c>
      <c r="F14" s="127">
        <f t="shared" si="1"/>
        <v>58343.355240097975</v>
      </c>
      <c r="G14" s="127">
        <f t="shared" si="1"/>
        <v>75846.361812127376</v>
      </c>
      <c r="H14" s="127">
        <f t="shared" si="1"/>
        <v>98600.270355765591</v>
      </c>
      <c r="J14" s="118"/>
      <c r="K14"/>
    </row>
    <row r="15" spans="1:11" ht="15.95" customHeight="1">
      <c r="A15" s="9" t="s">
        <v>477</v>
      </c>
      <c r="B15" s="8" t="s">
        <v>199</v>
      </c>
      <c r="C15" s="270">
        <v>10.804939862542954</v>
      </c>
      <c r="D15" s="232">
        <f>C15*D5</f>
        <v>12577.209318556697</v>
      </c>
      <c r="E15" s="127">
        <f t="shared" si="0"/>
        <v>28654.700515463912</v>
      </c>
      <c r="F15" s="127">
        <f t="shared" si="1"/>
        <v>37251.110670103088</v>
      </c>
      <c r="G15" s="127">
        <f t="shared" si="1"/>
        <v>48426.443871134019</v>
      </c>
      <c r="H15" s="127">
        <f t="shared" si="1"/>
        <v>62954.377032474229</v>
      </c>
      <c r="J15" s="118"/>
      <c r="K15"/>
    </row>
    <row r="16" spans="1:11" ht="15.95" customHeight="1">
      <c r="A16" s="7" t="s">
        <v>381</v>
      </c>
      <c r="B16" s="7"/>
      <c r="C16" s="61">
        <f>(SUM(C7:C12)+C15)*B23</f>
        <v>720.31735395189003</v>
      </c>
      <c r="D16" s="131">
        <f>SUM(D7:D12)*$B$23</f>
        <v>828404.92016164947</v>
      </c>
      <c r="E16" s="131">
        <f>SUM(E7:E12)*$B$23</f>
        <v>1887357.8622680411</v>
      </c>
      <c r="F16" s="131">
        <f>SUM(F7:F12)*$B$23</f>
        <v>2453565.2209484535</v>
      </c>
      <c r="G16" s="131">
        <f>SUM(G7:G12)*$B$23</f>
        <v>3189634.7872329894</v>
      </c>
      <c r="H16" s="131">
        <f>SUM(H7:H12)*$B$23</f>
        <v>4146525.2234028871</v>
      </c>
      <c r="J16" s="118"/>
      <c r="K16"/>
    </row>
    <row r="17" spans="1:11" ht="15.95" customHeight="1">
      <c r="A17" s="7" t="s">
        <v>382</v>
      </c>
      <c r="B17" s="7"/>
      <c r="C17" s="61">
        <f>((SUM(C7:C12)+C15)*B22)+C13+C14</f>
        <v>230.86222839402251</v>
      </c>
      <c r="D17" s="131">
        <f>(SUM(D7:D12)*B22)+D13+D14</f>
        <v>266213.7326804123</v>
      </c>
      <c r="E17" s="131">
        <f>(SUM(E7:E12)*B22)+E13+E14</f>
        <v>606515.68959785486</v>
      </c>
      <c r="F17" s="131">
        <f>(SUM(F7:F12)*B22)+F13+F14</f>
        <v>788470.39647721138</v>
      </c>
      <c r="G17" s="131">
        <f>(SUM(G7:G12)*B22)+G13+G14</f>
        <v>1025011.5154203748</v>
      </c>
      <c r="H17" s="131">
        <f>(SUM(H7:H12)*B22)+H13+H14</f>
        <v>1332514.9700464876</v>
      </c>
      <c r="K17" s="3"/>
    </row>
    <row r="18" spans="1:11" s="110" customFormat="1" ht="15.95" customHeight="1">
      <c r="A18" s="7" t="s">
        <v>239</v>
      </c>
      <c r="B18" s="7"/>
      <c r="C18" s="61">
        <f t="shared" ref="C18:H18" si="3">C16+C17</f>
        <v>951.17958234591254</v>
      </c>
      <c r="D18" s="131">
        <f t="shared" si="3"/>
        <v>1094618.6528420618</v>
      </c>
      <c r="E18" s="131">
        <f t="shared" si="3"/>
        <v>2493873.5518658962</v>
      </c>
      <c r="F18" s="131">
        <f t="shared" si="3"/>
        <v>3242035.6174256648</v>
      </c>
      <c r="G18" s="131">
        <f t="shared" si="3"/>
        <v>4214646.3026533639</v>
      </c>
      <c r="H18" s="131">
        <f t="shared" si="3"/>
        <v>5479040.1934493743</v>
      </c>
      <c r="I18" s="2"/>
      <c r="J18" s="144"/>
      <c r="K18" s="2"/>
    </row>
    <row r="19" spans="1:11">
      <c r="C19" s="271"/>
    </row>
    <row r="20" spans="1:11">
      <c r="A20" s="2" t="s">
        <v>95</v>
      </c>
      <c r="C20" s="118"/>
      <c r="D20" s="118"/>
      <c r="E20" s="118"/>
      <c r="F20" s="118"/>
      <c r="G20" s="118"/>
    </row>
    <row r="21" spans="1:11">
      <c r="A21" s="145" t="s">
        <v>240</v>
      </c>
      <c r="B21" s="147">
        <v>12</v>
      </c>
      <c r="C21" s="129" t="s">
        <v>24</v>
      </c>
      <c r="D21" s="145"/>
      <c r="E21" s="145"/>
      <c r="F21" s="145"/>
      <c r="G21" s="118"/>
      <c r="J21" s="108"/>
    </row>
    <row r="22" spans="1:11">
      <c r="A22" s="145" t="s">
        <v>241</v>
      </c>
      <c r="B22" s="148">
        <v>0.2</v>
      </c>
      <c r="C22" s="129" t="s">
        <v>242</v>
      </c>
      <c r="D22" s="145"/>
      <c r="E22" s="145"/>
      <c r="F22" s="145"/>
      <c r="J22" s="108"/>
    </row>
    <row r="23" spans="1:11">
      <c r="A23" s="145" t="s">
        <v>243</v>
      </c>
      <c r="B23" s="148">
        <v>0.8</v>
      </c>
      <c r="C23" s="129" t="s">
        <v>242</v>
      </c>
      <c r="D23" s="145"/>
      <c r="E23" s="145"/>
      <c r="F23" s="145"/>
      <c r="J23" s="108"/>
    </row>
    <row r="24" spans="1:11">
      <c r="A24" s="3" t="s">
        <v>319</v>
      </c>
      <c r="B24" s="139">
        <v>0.3</v>
      </c>
      <c r="C24" s="3" t="s">
        <v>320</v>
      </c>
    </row>
  </sheetData>
  <mergeCells count="1">
    <mergeCell ref="A2:G2"/>
  </mergeCells>
  <printOptions horizontalCentered="1" verticalCentered="1"/>
  <pageMargins left="0.78740157480314965" right="0.78740157480314965" top="0.78740157480314965" bottom="0.78740157480314965" header="0" footer="0"/>
  <pageSetup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3"/>
  <sheetViews>
    <sheetView topLeftCell="A4" workbookViewId="0">
      <selection activeCell="C13" sqref="C13"/>
    </sheetView>
  </sheetViews>
  <sheetFormatPr baseColWidth="10" defaultRowHeight="15.75"/>
  <cols>
    <col min="1" max="1" width="2.5703125" style="1" bestFit="1" customWidth="1"/>
    <col min="2" max="2" width="50.85546875" style="1" customWidth="1"/>
    <col min="3" max="3" width="17.5703125" style="1" bestFit="1" customWidth="1"/>
    <col min="4" max="4" width="16.28515625" style="1" bestFit="1" customWidth="1"/>
    <col min="5" max="5" width="18.140625" style="1" bestFit="1" customWidth="1"/>
    <col min="6" max="6" width="17.7109375" style="1" bestFit="1" customWidth="1"/>
    <col min="7" max="7" width="17" style="1" bestFit="1" customWidth="1"/>
    <col min="8" max="8" width="11.5703125" style="1"/>
  </cols>
  <sheetData>
    <row r="1" spans="1:8">
      <c r="B1" s="39"/>
      <c r="C1" s="39"/>
      <c r="D1" s="39"/>
      <c r="E1" s="39"/>
      <c r="F1" s="39"/>
      <c r="G1" s="39"/>
      <c r="H1" s="39"/>
    </row>
    <row r="2" spans="1:8" ht="31.9" customHeight="1">
      <c r="B2" s="303" t="s">
        <v>318</v>
      </c>
      <c r="C2" s="303"/>
      <c r="D2" s="303"/>
      <c r="E2" s="303"/>
      <c r="F2" s="303"/>
      <c r="G2" s="303"/>
      <c r="H2" s="219"/>
    </row>
    <row r="3" spans="1:8">
      <c r="B3" s="219"/>
      <c r="C3" s="219"/>
      <c r="D3" s="219"/>
      <c r="E3" s="219"/>
      <c r="F3" s="219"/>
      <c r="G3" s="219"/>
      <c r="H3" s="219"/>
    </row>
    <row r="4" spans="1:8" ht="13.5" customHeight="1"/>
    <row r="5" spans="1:8" ht="30.6" customHeight="1">
      <c r="B5" s="90"/>
      <c r="C5" s="224" t="s">
        <v>465</v>
      </c>
      <c r="D5" s="224" t="s">
        <v>355</v>
      </c>
      <c r="E5" s="224" t="s">
        <v>466</v>
      </c>
      <c r="F5" s="224" t="s">
        <v>467</v>
      </c>
      <c r="G5" s="224" t="s">
        <v>468</v>
      </c>
    </row>
    <row r="6" spans="1:8">
      <c r="A6" s="39"/>
      <c r="B6" s="221" t="s">
        <v>238</v>
      </c>
      <c r="C6" s="268">
        <f>'C1'!D19</f>
        <v>1164.0239999999999</v>
      </c>
      <c r="D6" s="268">
        <f>'C1'!E19</f>
        <v>2040</v>
      </c>
      <c r="E6" s="268">
        <f>'C1'!F19</f>
        <v>4080</v>
      </c>
      <c r="F6" s="268">
        <f>'C1'!G19</f>
        <v>4080</v>
      </c>
      <c r="G6" s="268">
        <f>'C1'!H19</f>
        <v>4080</v>
      </c>
    </row>
    <row r="7" spans="1:8">
      <c r="A7" s="39"/>
      <c r="B7" s="221" t="s">
        <v>232</v>
      </c>
      <c r="C7" s="225">
        <f>'C8'!D21</f>
        <v>6402131.9999999991</v>
      </c>
      <c r="D7" s="225">
        <f>'C8'!E21</f>
        <v>13464000</v>
      </c>
      <c r="E7" s="225">
        <f>'C8'!F21</f>
        <v>32313600</v>
      </c>
      <c r="F7" s="225">
        <f>'C8'!G21</f>
        <v>38776320</v>
      </c>
      <c r="G7" s="225">
        <f>'C8'!H21</f>
        <v>46531584</v>
      </c>
    </row>
    <row r="8" spans="1:8">
      <c r="A8" s="39"/>
      <c r="B8" s="223" t="s">
        <v>377</v>
      </c>
      <c r="C8" s="225">
        <f>'C7'!D21</f>
        <v>2408662.9088420616</v>
      </c>
      <c r="D8" s="225">
        <f>'C7'!E21</f>
        <v>4941123.7726658965</v>
      </c>
      <c r="E8" s="225">
        <f>'C7'!F21</f>
        <v>5934010.8603056651</v>
      </c>
      <c r="F8" s="225">
        <f>'C7'!G21</f>
        <v>7175819.0698213642</v>
      </c>
      <c r="G8" s="225">
        <f>'C7'!H21</f>
        <v>8736330.2373341732</v>
      </c>
    </row>
    <row r="9" spans="1:8">
      <c r="A9" s="39"/>
      <c r="B9" s="221" t="s">
        <v>474</v>
      </c>
      <c r="C9" s="225">
        <f>'C5'!D42</f>
        <v>2283042.6707283775</v>
      </c>
      <c r="D9" s="225">
        <f>'C5'!D43</f>
        <v>2139169.9877203838</v>
      </c>
      <c r="E9" s="225">
        <f>'C5'!D44</f>
        <v>1702995.1000706363</v>
      </c>
      <c r="F9" s="225">
        <f>'C5'!D45</f>
        <v>1162138.2393849492</v>
      </c>
      <c r="G9" s="225">
        <f>'C5'!D46</f>
        <v>491475.73213469697</v>
      </c>
    </row>
    <row r="10" spans="1:8">
      <c r="A10" s="39"/>
      <c r="B10" s="221" t="s">
        <v>83</v>
      </c>
      <c r="C10" s="225">
        <f>'C4'!D21</f>
        <v>709062.45734358253</v>
      </c>
      <c r="D10" s="225">
        <f>'C4'!E21</f>
        <v>709062.45734358253</v>
      </c>
      <c r="E10" s="225">
        <f>'C4'!F21</f>
        <v>709062.45734358253</v>
      </c>
      <c r="F10" s="225">
        <f>'C4'!G21</f>
        <v>709062.45734358253</v>
      </c>
      <c r="G10" s="225">
        <f>'C4'!H21</f>
        <v>709062.45734358253</v>
      </c>
    </row>
    <row r="11" spans="1:8">
      <c r="A11" s="218"/>
      <c r="B11" s="223" t="s">
        <v>322</v>
      </c>
      <c r="C11" s="225">
        <f>C7-SUM(C8:C10)</f>
        <v>1001363.9630859783</v>
      </c>
      <c r="D11" s="225">
        <f t="shared" ref="D11:G11" si="0">D7-SUM(D8:D10)</f>
        <v>5674643.7822701372</v>
      </c>
      <c r="E11" s="225">
        <f t="shared" si="0"/>
        <v>23967531.582280114</v>
      </c>
      <c r="F11" s="225">
        <f t="shared" si="0"/>
        <v>29729300.233450104</v>
      </c>
      <c r="G11" s="225">
        <f t="shared" si="0"/>
        <v>36594715.573187545</v>
      </c>
    </row>
    <row r="12" spans="1:8">
      <c r="A12" s="218"/>
      <c r="B12" s="222" t="s">
        <v>309</v>
      </c>
      <c r="C12" s="215">
        <f>IF(C11&lt;=0,0,IF(C11&lt;=$C21,C11*$D20-$E20,IF(C11&lt;=$C22,C11*$D21-$E21,C11*$D22-$E22)))</f>
        <v>312963.74744923261</v>
      </c>
      <c r="D12" s="215">
        <f>IF(D11&lt;=0,0,IF(D11&lt;=$C21,D11*$D20-$E20,IF(D11&lt;=$C22,D11*$D21-$E21,D11*$D22-$E22)))</f>
        <v>1901878.8859718468</v>
      </c>
      <c r="E12" s="215">
        <f>IF(E11&lt;=0,0,IF(E11&lt;=$C21,E11*$D20-$E20,IF(E11&lt;=$C22,E11*$D21-$E21,E11*$D22-$E22)))</f>
        <v>8121460.7379752398</v>
      </c>
      <c r="F12" s="215">
        <f t="shared" ref="F12:G12" si="1">IF(F11&lt;=0,0,IF(F11&lt;=$C21,F11*$D20-$E20,IF(F11&lt;=$C22,F11*$D21-$E21,F11*$D22-$E22)))</f>
        <v>10080462.079373036</v>
      </c>
      <c r="G12" s="215">
        <f t="shared" si="1"/>
        <v>12414703.294883765</v>
      </c>
    </row>
    <row r="13" spans="1:8">
      <c r="A13" s="218"/>
      <c r="B13" s="223" t="s">
        <v>323</v>
      </c>
      <c r="C13" s="225">
        <f>C11-C12</f>
        <v>688400.21563674568</v>
      </c>
      <c r="D13" s="225">
        <f t="shared" ref="D13:G13" si="2">D11-D12</f>
        <v>3772764.8962982902</v>
      </c>
      <c r="E13" s="225">
        <f t="shared" si="2"/>
        <v>15846070.844304875</v>
      </c>
      <c r="F13" s="225">
        <f t="shared" si="2"/>
        <v>19648838.154077068</v>
      </c>
      <c r="G13" s="225">
        <f t="shared" si="2"/>
        <v>24180012.27830378</v>
      </c>
    </row>
    <row r="14" spans="1:8">
      <c r="A14" s="218"/>
      <c r="B14" s="220"/>
      <c r="C14" s="228"/>
      <c r="D14" s="228"/>
      <c r="E14" s="228"/>
      <c r="F14" s="228"/>
      <c r="G14" s="228"/>
    </row>
    <row r="15" spans="1:8">
      <c r="A15" s="218"/>
      <c r="B15" s="220"/>
      <c r="C15" s="228">
        <f>SUM(C8:C10)</f>
        <v>5400768.0369140208</v>
      </c>
      <c r="D15" s="228"/>
      <c r="E15" s="228"/>
      <c r="F15" s="228"/>
      <c r="G15" s="228"/>
    </row>
    <row r="16" spans="1:8">
      <c r="B16" s="45" t="s">
        <v>95</v>
      </c>
    </row>
    <row r="18" spans="2:10">
      <c r="C18" s="304" t="s">
        <v>310</v>
      </c>
      <c r="D18" s="305"/>
      <c r="E18" s="306"/>
    </row>
    <row r="19" spans="2:10">
      <c r="C19" s="226" t="s">
        <v>311</v>
      </c>
      <c r="D19" s="226" t="s">
        <v>312</v>
      </c>
      <c r="E19" s="226" t="s">
        <v>313</v>
      </c>
      <c r="J19" s="231"/>
    </row>
    <row r="20" spans="2:10">
      <c r="B20" s="1" t="s">
        <v>314</v>
      </c>
      <c r="C20" s="222">
        <v>0</v>
      </c>
      <c r="D20" s="227">
        <v>0.15</v>
      </c>
      <c r="E20" s="222">
        <v>0</v>
      </c>
    </row>
    <row r="21" spans="2:10">
      <c r="B21" s="1" t="s">
        <v>315</v>
      </c>
      <c r="C21" s="222">
        <f>C23*2000</f>
        <v>110000</v>
      </c>
      <c r="D21" s="227">
        <v>0.22</v>
      </c>
      <c r="E21" s="222">
        <f>C23*140</f>
        <v>7700</v>
      </c>
    </row>
    <row r="22" spans="2:10">
      <c r="B22" s="1" t="s">
        <v>316</v>
      </c>
      <c r="C22" s="222">
        <f>C23*3000</f>
        <v>165000</v>
      </c>
      <c r="D22" s="227">
        <v>0.34</v>
      </c>
      <c r="E22" s="222">
        <f>C23*500</f>
        <v>27500</v>
      </c>
    </row>
    <row r="23" spans="2:10">
      <c r="B23" s="1" t="s">
        <v>317</v>
      </c>
      <c r="C23" s="217">
        <v>55</v>
      </c>
    </row>
  </sheetData>
  <mergeCells count="2">
    <mergeCell ref="B2:G2"/>
    <mergeCell ref="C18:E18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1"/>
  <sheetViews>
    <sheetView topLeftCell="A4" workbookViewId="0">
      <selection activeCell="C12" sqref="C12"/>
    </sheetView>
  </sheetViews>
  <sheetFormatPr baseColWidth="10" defaultRowHeight="15.75"/>
  <cols>
    <col min="1" max="1" width="3.28515625" style="3" customWidth="1"/>
    <col min="2" max="2" width="42.5703125" style="3" customWidth="1"/>
    <col min="3" max="3" width="13.85546875" style="3" customWidth="1"/>
    <col min="4" max="5" width="14.140625" style="3" bestFit="1" customWidth="1"/>
    <col min="6" max="6" width="15" style="3" customWidth="1"/>
    <col min="7" max="7" width="15.28515625" style="3" bestFit="1" customWidth="1"/>
    <col min="8" max="11" width="11.42578125" style="3"/>
    <col min="12" max="256" width="11.42578125" style="108"/>
    <col min="257" max="257" width="3.28515625" style="108" customWidth="1"/>
    <col min="258" max="258" width="32.28515625" style="108" customWidth="1"/>
    <col min="259" max="259" width="13" style="108" customWidth="1"/>
    <col min="260" max="263" width="13.7109375" style="108" bestFit="1" customWidth="1"/>
    <col min="264" max="512" width="11.42578125" style="108"/>
    <col min="513" max="513" width="3.28515625" style="108" customWidth="1"/>
    <col min="514" max="514" width="32.28515625" style="108" customWidth="1"/>
    <col min="515" max="515" width="13" style="108" customWidth="1"/>
    <col min="516" max="519" width="13.7109375" style="108" bestFit="1" customWidth="1"/>
    <col min="520" max="768" width="11.42578125" style="108"/>
    <col min="769" max="769" width="3.28515625" style="108" customWidth="1"/>
    <col min="770" max="770" width="32.28515625" style="108" customWidth="1"/>
    <col min="771" max="771" width="13" style="108" customWidth="1"/>
    <col min="772" max="775" width="13.7109375" style="108" bestFit="1" customWidth="1"/>
    <col min="776" max="1024" width="11.42578125" style="108"/>
    <col min="1025" max="1025" width="3.28515625" style="108" customWidth="1"/>
    <col min="1026" max="1026" width="32.28515625" style="108" customWidth="1"/>
    <col min="1027" max="1027" width="13" style="108" customWidth="1"/>
    <col min="1028" max="1031" width="13.7109375" style="108" bestFit="1" customWidth="1"/>
    <col min="1032" max="1280" width="11.42578125" style="108"/>
    <col min="1281" max="1281" width="3.28515625" style="108" customWidth="1"/>
    <col min="1282" max="1282" width="32.28515625" style="108" customWidth="1"/>
    <col min="1283" max="1283" width="13" style="108" customWidth="1"/>
    <col min="1284" max="1287" width="13.7109375" style="108" bestFit="1" customWidth="1"/>
    <col min="1288" max="1536" width="11.42578125" style="108"/>
    <col min="1537" max="1537" width="3.28515625" style="108" customWidth="1"/>
    <col min="1538" max="1538" width="32.28515625" style="108" customWidth="1"/>
    <col min="1539" max="1539" width="13" style="108" customWidth="1"/>
    <col min="1540" max="1543" width="13.7109375" style="108" bestFit="1" customWidth="1"/>
    <col min="1544" max="1792" width="11.42578125" style="108"/>
    <col min="1793" max="1793" width="3.28515625" style="108" customWidth="1"/>
    <col min="1794" max="1794" width="32.28515625" style="108" customWidth="1"/>
    <col min="1795" max="1795" width="13" style="108" customWidth="1"/>
    <col min="1796" max="1799" width="13.7109375" style="108" bestFit="1" customWidth="1"/>
    <col min="1800" max="2048" width="11.42578125" style="108"/>
    <col min="2049" max="2049" width="3.28515625" style="108" customWidth="1"/>
    <col min="2050" max="2050" width="32.28515625" style="108" customWidth="1"/>
    <col min="2051" max="2051" width="13" style="108" customWidth="1"/>
    <col min="2052" max="2055" width="13.7109375" style="108" bestFit="1" customWidth="1"/>
    <col min="2056" max="2304" width="11.42578125" style="108"/>
    <col min="2305" max="2305" width="3.28515625" style="108" customWidth="1"/>
    <col min="2306" max="2306" width="32.28515625" style="108" customWidth="1"/>
    <col min="2307" max="2307" width="13" style="108" customWidth="1"/>
    <col min="2308" max="2311" width="13.7109375" style="108" bestFit="1" customWidth="1"/>
    <col min="2312" max="2560" width="11.42578125" style="108"/>
    <col min="2561" max="2561" width="3.28515625" style="108" customWidth="1"/>
    <col min="2562" max="2562" width="32.28515625" style="108" customWidth="1"/>
    <col min="2563" max="2563" width="13" style="108" customWidth="1"/>
    <col min="2564" max="2567" width="13.7109375" style="108" bestFit="1" customWidth="1"/>
    <col min="2568" max="2816" width="11.42578125" style="108"/>
    <col min="2817" max="2817" width="3.28515625" style="108" customWidth="1"/>
    <col min="2818" max="2818" width="32.28515625" style="108" customWidth="1"/>
    <col min="2819" max="2819" width="13" style="108" customWidth="1"/>
    <col min="2820" max="2823" width="13.7109375" style="108" bestFit="1" customWidth="1"/>
    <col min="2824" max="3072" width="11.42578125" style="108"/>
    <col min="3073" max="3073" width="3.28515625" style="108" customWidth="1"/>
    <col min="3074" max="3074" width="32.28515625" style="108" customWidth="1"/>
    <col min="3075" max="3075" width="13" style="108" customWidth="1"/>
    <col min="3076" max="3079" width="13.7109375" style="108" bestFit="1" customWidth="1"/>
    <col min="3080" max="3328" width="11.42578125" style="108"/>
    <col min="3329" max="3329" width="3.28515625" style="108" customWidth="1"/>
    <col min="3330" max="3330" width="32.28515625" style="108" customWidth="1"/>
    <col min="3331" max="3331" width="13" style="108" customWidth="1"/>
    <col min="3332" max="3335" width="13.7109375" style="108" bestFit="1" customWidth="1"/>
    <col min="3336" max="3584" width="11.42578125" style="108"/>
    <col min="3585" max="3585" width="3.28515625" style="108" customWidth="1"/>
    <col min="3586" max="3586" width="32.28515625" style="108" customWidth="1"/>
    <col min="3587" max="3587" width="13" style="108" customWidth="1"/>
    <col min="3588" max="3591" width="13.7109375" style="108" bestFit="1" customWidth="1"/>
    <col min="3592" max="3840" width="11.42578125" style="108"/>
    <col min="3841" max="3841" width="3.28515625" style="108" customWidth="1"/>
    <col min="3842" max="3842" width="32.28515625" style="108" customWidth="1"/>
    <col min="3843" max="3843" width="13" style="108" customWidth="1"/>
    <col min="3844" max="3847" width="13.7109375" style="108" bestFit="1" customWidth="1"/>
    <col min="3848" max="4096" width="11.42578125" style="108"/>
    <col min="4097" max="4097" width="3.28515625" style="108" customWidth="1"/>
    <col min="4098" max="4098" width="32.28515625" style="108" customWidth="1"/>
    <col min="4099" max="4099" width="13" style="108" customWidth="1"/>
    <col min="4100" max="4103" width="13.7109375" style="108" bestFit="1" customWidth="1"/>
    <col min="4104" max="4352" width="11.42578125" style="108"/>
    <col min="4353" max="4353" width="3.28515625" style="108" customWidth="1"/>
    <col min="4354" max="4354" width="32.28515625" style="108" customWidth="1"/>
    <col min="4355" max="4355" width="13" style="108" customWidth="1"/>
    <col min="4356" max="4359" width="13.7109375" style="108" bestFit="1" customWidth="1"/>
    <col min="4360" max="4608" width="11.42578125" style="108"/>
    <col min="4609" max="4609" width="3.28515625" style="108" customWidth="1"/>
    <col min="4610" max="4610" width="32.28515625" style="108" customWidth="1"/>
    <col min="4611" max="4611" width="13" style="108" customWidth="1"/>
    <col min="4612" max="4615" width="13.7109375" style="108" bestFit="1" customWidth="1"/>
    <col min="4616" max="4864" width="11.42578125" style="108"/>
    <col min="4865" max="4865" width="3.28515625" style="108" customWidth="1"/>
    <col min="4866" max="4866" width="32.28515625" style="108" customWidth="1"/>
    <col min="4867" max="4867" width="13" style="108" customWidth="1"/>
    <col min="4868" max="4871" width="13.7109375" style="108" bestFit="1" customWidth="1"/>
    <col min="4872" max="5120" width="11.42578125" style="108"/>
    <col min="5121" max="5121" width="3.28515625" style="108" customWidth="1"/>
    <col min="5122" max="5122" width="32.28515625" style="108" customWidth="1"/>
    <col min="5123" max="5123" width="13" style="108" customWidth="1"/>
    <col min="5124" max="5127" width="13.7109375" style="108" bestFit="1" customWidth="1"/>
    <col min="5128" max="5376" width="11.42578125" style="108"/>
    <col min="5377" max="5377" width="3.28515625" style="108" customWidth="1"/>
    <col min="5378" max="5378" width="32.28515625" style="108" customWidth="1"/>
    <col min="5379" max="5379" width="13" style="108" customWidth="1"/>
    <col min="5380" max="5383" width="13.7109375" style="108" bestFit="1" customWidth="1"/>
    <col min="5384" max="5632" width="11.42578125" style="108"/>
    <col min="5633" max="5633" width="3.28515625" style="108" customWidth="1"/>
    <col min="5634" max="5634" width="32.28515625" style="108" customWidth="1"/>
    <col min="5635" max="5635" width="13" style="108" customWidth="1"/>
    <col min="5636" max="5639" width="13.7109375" style="108" bestFit="1" customWidth="1"/>
    <col min="5640" max="5888" width="11.42578125" style="108"/>
    <col min="5889" max="5889" width="3.28515625" style="108" customWidth="1"/>
    <col min="5890" max="5890" width="32.28515625" style="108" customWidth="1"/>
    <col min="5891" max="5891" width="13" style="108" customWidth="1"/>
    <col min="5892" max="5895" width="13.7109375" style="108" bestFit="1" customWidth="1"/>
    <col min="5896" max="6144" width="11.42578125" style="108"/>
    <col min="6145" max="6145" width="3.28515625" style="108" customWidth="1"/>
    <col min="6146" max="6146" width="32.28515625" style="108" customWidth="1"/>
    <col min="6147" max="6147" width="13" style="108" customWidth="1"/>
    <col min="6148" max="6151" width="13.7109375" style="108" bestFit="1" customWidth="1"/>
    <col min="6152" max="6400" width="11.42578125" style="108"/>
    <col min="6401" max="6401" width="3.28515625" style="108" customWidth="1"/>
    <col min="6402" max="6402" width="32.28515625" style="108" customWidth="1"/>
    <col min="6403" max="6403" width="13" style="108" customWidth="1"/>
    <col min="6404" max="6407" width="13.7109375" style="108" bestFit="1" customWidth="1"/>
    <col min="6408" max="6656" width="11.42578125" style="108"/>
    <col min="6657" max="6657" width="3.28515625" style="108" customWidth="1"/>
    <col min="6658" max="6658" width="32.28515625" style="108" customWidth="1"/>
    <col min="6659" max="6659" width="13" style="108" customWidth="1"/>
    <col min="6660" max="6663" width="13.7109375" style="108" bestFit="1" customWidth="1"/>
    <col min="6664" max="6912" width="11.42578125" style="108"/>
    <col min="6913" max="6913" width="3.28515625" style="108" customWidth="1"/>
    <col min="6914" max="6914" width="32.28515625" style="108" customWidth="1"/>
    <col min="6915" max="6915" width="13" style="108" customWidth="1"/>
    <col min="6916" max="6919" width="13.7109375" style="108" bestFit="1" customWidth="1"/>
    <col min="6920" max="7168" width="11.42578125" style="108"/>
    <col min="7169" max="7169" width="3.28515625" style="108" customWidth="1"/>
    <col min="7170" max="7170" width="32.28515625" style="108" customWidth="1"/>
    <col min="7171" max="7171" width="13" style="108" customWidth="1"/>
    <col min="7172" max="7175" width="13.7109375" style="108" bestFit="1" customWidth="1"/>
    <col min="7176" max="7424" width="11.42578125" style="108"/>
    <col min="7425" max="7425" width="3.28515625" style="108" customWidth="1"/>
    <col min="7426" max="7426" width="32.28515625" style="108" customWidth="1"/>
    <col min="7427" max="7427" width="13" style="108" customWidth="1"/>
    <col min="7428" max="7431" width="13.7109375" style="108" bestFit="1" customWidth="1"/>
    <col min="7432" max="7680" width="11.42578125" style="108"/>
    <col min="7681" max="7681" width="3.28515625" style="108" customWidth="1"/>
    <col min="7682" max="7682" width="32.28515625" style="108" customWidth="1"/>
    <col min="7683" max="7683" width="13" style="108" customWidth="1"/>
    <col min="7684" max="7687" width="13.7109375" style="108" bestFit="1" customWidth="1"/>
    <col min="7688" max="7936" width="11.42578125" style="108"/>
    <col min="7937" max="7937" width="3.28515625" style="108" customWidth="1"/>
    <col min="7938" max="7938" width="32.28515625" style="108" customWidth="1"/>
    <col min="7939" max="7939" width="13" style="108" customWidth="1"/>
    <col min="7940" max="7943" width="13.7109375" style="108" bestFit="1" customWidth="1"/>
    <col min="7944" max="8192" width="11.42578125" style="108"/>
    <col min="8193" max="8193" width="3.28515625" style="108" customWidth="1"/>
    <col min="8194" max="8194" width="32.28515625" style="108" customWidth="1"/>
    <col min="8195" max="8195" width="13" style="108" customWidth="1"/>
    <col min="8196" max="8199" width="13.7109375" style="108" bestFit="1" customWidth="1"/>
    <col min="8200" max="8448" width="11.42578125" style="108"/>
    <col min="8449" max="8449" width="3.28515625" style="108" customWidth="1"/>
    <col min="8450" max="8450" width="32.28515625" style="108" customWidth="1"/>
    <col min="8451" max="8451" width="13" style="108" customWidth="1"/>
    <col min="8452" max="8455" width="13.7109375" style="108" bestFit="1" customWidth="1"/>
    <col min="8456" max="8704" width="11.42578125" style="108"/>
    <col min="8705" max="8705" width="3.28515625" style="108" customWidth="1"/>
    <col min="8706" max="8706" width="32.28515625" style="108" customWidth="1"/>
    <col min="8707" max="8707" width="13" style="108" customWidth="1"/>
    <col min="8708" max="8711" width="13.7109375" style="108" bestFit="1" customWidth="1"/>
    <col min="8712" max="8960" width="11.42578125" style="108"/>
    <col min="8961" max="8961" width="3.28515625" style="108" customWidth="1"/>
    <col min="8962" max="8962" width="32.28515625" style="108" customWidth="1"/>
    <col min="8963" max="8963" width="13" style="108" customWidth="1"/>
    <col min="8964" max="8967" width="13.7109375" style="108" bestFit="1" customWidth="1"/>
    <col min="8968" max="9216" width="11.42578125" style="108"/>
    <col min="9217" max="9217" width="3.28515625" style="108" customWidth="1"/>
    <col min="9218" max="9218" width="32.28515625" style="108" customWidth="1"/>
    <col min="9219" max="9219" width="13" style="108" customWidth="1"/>
    <col min="9220" max="9223" width="13.7109375" style="108" bestFit="1" customWidth="1"/>
    <col min="9224" max="9472" width="11.42578125" style="108"/>
    <col min="9473" max="9473" width="3.28515625" style="108" customWidth="1"/>
    <col min="9474" max="9474" width="32.28515625" style="108" customWidth="1"/>
    <col min="9475" max="9475" width="13" style="108" customWidth="1"/>
    <col min="9476" max="9479" width="13.7109375" style="108" bestFit="1" customWidth="1"/>
    <col min="9480" max="9728" width="11.42578125" style="108"/>
    <col min="9729" max="9729" width="3.28515625" style="108" customWidth="1"/>
    <col min="9730" max="9730" width="32.28515625" style="108" customWidth="1"/>
    <col min="9731" max="9731" width="13" style="108" customWidth="1"/>
    <col min="9732" max="9735" width="13.7109375" style="108" bestFit="1" customWidth="1"/>
    <col min="9736" max="9984" width="11.42578125" style="108"/>
    <col min="9985" max="9985" width="3.28515625" style="108" customWidth="1"/>
    <col min="9986" max="9986" width="32.28515625" style="108" customWidth="1"/>
    <col min="9987" max="9987" width="13" style="108" customWidth="1"/>
    <col min="9988" max="9991" width="13.7109375" style="108" bestFit="1" customWidth="1"/>
    <col min="9992" max="10240" width="11.42578125" style="108"/>
    <col min="10241" max="10241" width="3.28515625" style="108" customWidth="1"/>
    <col min="10242" max="10242" width="32.28515625" style="108" customWidth="1"/>
    <col min="10243" max="10243" width="13" style="108" customWidth="1"/>
    <col min="10244" max="10247" width="13.7109375" style="108" bestFit="1" customWidth="1"/>
    <col min="10248" max="10496" width="11.42578125" style="108"/>
    <col min="10497" max="10497" width="3.28515625" style="108" customWidth="1"/>
    <col min="10498" max="10498" width="32.28515625" style="108" customWidth="1"/>
    <col min="10499" max="10499" width="13" style="108" customWidth="1"/>
    <col min="10500" max="10503" width="13.7109375" style="108" bestFit="1" customWidth="1"/>
    <col min="10504" max="10752" width="11.42578125" style="108"/>
    <col min="10753" max="10753" width="3.28515625" style="108" customWidth="1"/>
    <col min="10754" max="10754" width="32.28515625" style="108" customWidth="1"/>
    <col min="10755" max="10755" width="13" style="108" customWidth="1"/>
    <col min="10756" max="10759" width="13.7109375" style="108" bestFit="1" customWidth="1"/>
    <col min="10760" max="11008" width="11.42578125" style="108"/>
    <col min="11009" max="11009" width="3.28515625" style="108" customWidth="1"/>
    <col min="11010" max="11010" width="32.28515625" style="108" customWidth="1"/>
    <col min="11011" max="11011" width="13" style="108" customWidth="1"/>
    <col min="11012" max="11015" width="13.7109375" style="108" bestFit="1" customWidth="1"/>
    <col min="11016" max="11264" width="11.42578125" style="108"/>
    <col min="11265" max="11265" width="3.28515625" style="108" customWidth="1"/>
    <col min="11266" max="11266" width="32.28515625" style="108" customWidth="1"/>
    <col min="11267" max="11267" width="13" style="108" customWidth="1"/>
    <col min="11268" max="11271" width="13.7109375" style="108" bestFit="1" customWidth="1"/>
    <col min="11272" max="11520" width="11.42578125" style="108"/>
    <col min="11521" max="11521" width="3.28515625" style="108" customWidth="1"/>
    <col min="11522" max="11522" width="32.28515625" style="108" customWidth="1"/>
    <col min="11523" max="11523" width="13" style="108" customWidth="1"/>
    <col min="11524" max="11527" width="13.7109375" style="108" bestFit="1" customWidth="1"/>
    <col min="11528" max="11776" width="11.42578125" style="108"/>
    <col min="11777" max="11777" width="3.28515625" style="108" customWidth="1"/>
    <col min="11778" max="11778" width="32.28515625" style="108" customWidth="1"/>
    <col min="11779" max="11779" width="13" style="108" customWidth="1"/>
    <col min="11780" max="11783" width="13.7109375" style="108" bestFit="1" customWidth="1"/>
    <col min="11784" max="12032" width="11.42578125" style="108"/>
    <col min="12033" max="12033" width="3.28515625" style="108" customWidth="1"/>
    <col min="12034" max="12034" width="32.28515625" style="108" customWidth="1"/>
    <col min="12035" max="12035" width="13" style="108" customWidth="1"/>
    <col min="12036" max="12039" width="13.7109375" style="108" bestFit="1" customWidth="1"/>
    <col min="12040" max="12288" width="11.42578125" style="108"/>
    <col min="12289" max="12289" width="3.28515625" style="108" customWidth="1"/>
    <col min="12290" max="12290" width="32.28515625" style="108" customWidth="1"/>
    <col min="12291" max="12291" width="13" style="108" customWidth="1"/>
    <col min="12292" max="12295" width="13.7109375" style="108" bestFit="1" customWidth="1"/>
    <col min="12296" max="12544" width="11.42578125" style="108"/>
    <col min="12545" max="12545" width="3.28515625" style="108" customWidth="1"/>
    <col min="12546" max="12546" width="32.28515625" style="108" customWidth="1"/>
    <col min="12547" max="12547" width="13" style="108" customWidth="1"/>
    <col min="12548" max="12551" width="13.7109375" style="108" bestFit="1" customWidth="1"/>
    <col min="12552" max="12800" width="11.42578125" style="108"/>
    <col min="12801" max="12801" width="3.28515625" style="108" customWidth="1"/>
    <col min="12802" max="12802" width="32.28515625" style="108" customWidth="1"/>
    <col min="12803" max="12803" width="13" style="108" customWidth="1"/>
    <col min="12804" max="12807" width="13.7109375" style="108" bestFit="1" customWidth="1"/>
    <col min="12808" max="13056" width="11.42578125" style="108"/>
    <col min="13057" max="13057" width="3.28515625" style="108" customWidth="1"/>
    <col min="13058" max="13058" width="32.28515625" style="108" customWidth="1"/>
    <col min="13059" max="13059" width="13" style="108" customWidth="1"/>
    <col min="13060" max="13063" width="13.7109375" style="108" bestFit="1" customWidth="1"/>
    <col min="13064" max="13312" width="11.42578125" style="108"/>
    <col min="13313" max="13313" width="3.28515625" style="108" customWidth="1"/>
    <col min="13314" max="13314" width="32.28515625" style="108" customWidth="1"/>
    <col min="13315" max="13315" width="13" style="108" customWidth="1"/>
    <col min="13316" max="13319" width="13.7109375" style="108" bestFit="1" customWidth="1"/>
    <col min="13320" max="13568" width="11.42578125" style="108"/>
    <col min="13569" max="13569" width="3.28515625" style="108" customWidth="1"/>
    <col min="13570" max="13570" width="32.28515625" style="108" customWidth="1"/>
    <col min="13571" max="13571" width="13" style="108" customWidth="1"/>
    <col min="13572" max="13575" width="13.7109375" style="108" bestFit="1" customWidth="1"/>
    <col min="13576" max="13824" width="11.42578125" style="108"/>
    <col min="13825" max="13825" width="3.28515625" style="108" customWidth="1"/>
    <col min="13826" max="13826" width="32.28515625" style="108" customWidth="1"/>
    <col min="13827" max="13827" width="13" style="108" customWidth="1"/>
    <col min="13828" max="13831" width="13.7109375" style="108" bestFit="1" customWidth="1"/>
    <col min="13832" max="14080" width="11.42578125" style="108"/>
    <col min="14081" max="14081" width="3.28515625" style="108" customWidth="1"/>
    <col min="14082" max="14082" width="32.28515625" style="108" customWidth="1"/>
    <col min="14083" max="14083" width="13" style="108" customWidth="1"/>
    <col min="14084" max="14087" width="13.7109375" style="108" bestFit="1" customWidth="1"/>
    <col min="14088" max="14336" width="11.42578125" style="108"/>
    <col min="14337" max="14337" width="3.28515625" style="108" customWidth="1"/>
    <col min="14338" max="14338" width="32.28515625" style="108" customWidth="1"/>
    <col min="14339" max="14339" width="13" style="108" customWidth="1"/>
    <col min="14340" max="14343" width="13.7109375" style="108" bestFit="1" customWidth="1"/>
    <col min="14344" max="14592" width="11.42578125" style="108"/>
    <col min="14593" max="14593" width="3.28515625" style="108" customWidth="1"/>
    <col min="14594" max="14594" width="32.28515625" style="108" customWidth="1"/>
    <col min="14595" max="14595" width="13" style="108" customWidth="1"/>
    <col min="14596" max="14599" width="13.7109375" style="108" bestFit="1" customWidth="1"/>
    <col min="14600" max="14848" width="11.42578125" style="108"/>
    <col min="14849" max="14849" width="3.28515625" style="108" customWidth="1"/>
    <col min="14850" max="14850" width="32.28515625" style="108" customWidth="1"/>
    <col min="14851" max="14851" width="13" style="108" customWidth="1"/>
    <col min="14852" max="14855" width="13.7109375" style="108" bestFit="1" customWidth="1"/>
    <col min="14856" max="15104" width="11.42578125" style="108"/>
    <col min="15105" max="15105" width="3.28515625" style="108" customWidth="1"/>
    <col min="15106" max="15106" width="32.28515625" style="108" customWidth="1"/>
    <col min="15107" max="15107" width="13" style="108" customWidth="1"/>
    <col min="15108" max="15111" width="13.7109375" style="108" bestFit="1" customWidth="1"/>
    <col min="15112" max="15360" width="11.42578125" style="108"/>
    <col min="15361" max="15361" width="3.28515625" style="108" customWidth="1"/>
    <col min="15362" max="15362" width="32.28515625" style="108" customWidth="1"/>
    <col min="15363" max="15363" width="13" style="108" customWidth="1"/>
    <col min="15364" max="15367" width="13.7109375" style="108" bestFit="1" customWidth="1"/>
    <col min="15368" max="15616" width="11.42578125" style="108"/>
    <col min="15617" max="15617" width="3.28515625" style="108" customWidth="1"/>
    <col min="15618" max="15618" width="32.28515625" style="108" customWidth="1"/>
    <col min="15619" max="15619" width="13" style="108" customWidth="1"/>
    <col min="15620" max="15623" width="13.7109375" style="108" bestFit="1" customWidth="1"/>
    <col min="15624" max="15872" width="11.42578125" style="108"/>
    <col min="15873" max="15873" width="3.28515625" style="108" customWidth="1"/>
    <col min="15874" max="15874" width="32.28515625" style="108" customWidth="1"/>
    <col min="15875" max="15875" width="13" style="108" customWidth="1"/>
    <col min="15876" max="15879" width="13.7109375" style="108" bestFit="1" customWidth="1"/>
    <col min="15880" max="16128" width="11.42578125" style="108"/>
    <col min="16129" max="16129" width="3.28515625" style="108" customWidth="1"/>
    <col min="16130" max="16130" width="32.28515625" style="108" customWidth="1"/>
    <col min="16131" max="16131" width="13" style="108" customWidth="1"/>
    <col min="16132" max="16135" width="13.7109375" style="108" bestFit="1" customWidth="1"/>
    <col min="16136" max="16384" width="11.42578125" style="108"/>
  </cols>
  <sheetData>
    <row r="2" spans="1:11">
      <c r="A2" s="294" t="s">
        <v>329</v>
      </c>
      <c r="B2" s="294"/>
      <c r="C2" s="294"/>
      <c r="D2" s="294"/>
      <c r="E2" s="294"/>
      <c r="F2" s="294"/>
      <c r="G2" s="294"/>
    </row>
    <row r="4" spans="1:11" ht="30.75" customHeight="1">
      <c r="C4" s="146" t="s">
        <v>330</v>
      </c>
      <c r="D4" s="146" t="s">
        <v>331</v>
      </c>
      <c r="E4" s="146" t="s">
        <v>332</v>
      </c>
      <c r="F4" s="146" t="s">
        <v>333</v>
      </c>
      <c r="G4" s="146" t="s">
        <v>334</v>
      </c>
    </row>
    <row r="5" spans="1:11">
      <c r="B5" s="7" t="s">
        <v>352</v>
      </c>
      <c r="C5" s="13">
        <f>'C1'!D19</f>
        <v>1164.0239999999999</v>
      </c>
      <c r="D5" s="13">
        <f>'C1'!E19</f>
        <v>2040</v>
      </c>
      <c r="E5" s="13">
        <f>'C1'!F19</f>
        <v>4080</v>
      </c>
      <c r="F5" s="13">
        <f>'C1'!G19</f>
        <v>4080</v>
      </c>
      <c r="G5" s="13">
        <f>'C1'!H19</f>
        <v>4080</v>
      </c>
    </row>
    <row r="6" spans="1:11">
      <c r="B6" s="7"/>
      <c r="C6" s="13"/>
      <c r="D6" s="13"/>
      <c r="E6" s="13"/>
      <c r="F6" s="13"/>
      <c r="G6" s="13"/>
    </row>
    <row r="7" spans="1:11">
      <c r="B7" s="7" t="s">
        <v>335</v>
      </c>
      <c r="C7" s="8" t="s">
        <v>439</v>
      </c>
      <c r="D7" s="8" t="s">
        <v>439</v>
      </c>
      <c r="E7" s="8" t="s">
        <v>439</v>
      </c>
      <c r="F7" s="8" t="s">
        <v>439</v>
      </c>
      <c r="G7" s="8" t="s">
        <v>439</v>
      </c>
    </row>
    <row r="8" spans="1:11">
      <c r="B8" s="234" t="s">
        <v>378</v>
      </c>
      <c r="C8" s="151">
        <f>'C10'!C8</f>
        <v>2408662.9088420616</v>
      </c>
      <c r="D8" s="151">
        <f>'C10'!D8</f>
        <v>4941123.7726658965</v>
      </c>
      <c r="E8" s="151">
        <f>'C10'!E8</f>
        <v>5934010.8603056651</v>
      </c>
      <c r="F8" s="151">
        <f>'C10'!F8</f>
        <v>7175819.0698213642</v>
      </c>
      <c r="G8" s="151">
        <f>'C10'!G8</f>
        <v>8736330.2373341732</v>
      </c>
    </row>
    <row r="9" spans="1:11">
      <c r="B9" s="234" t="s">
        <v>379</v>
      </c>
      <c r="C9" s="151">
        <f>'C9'!D18</f>
        <v>1094618.6528420618</v>
      </c>
      <c r="D9" s="151">
        <f>'C9'!E18</f>
        <v>2493873.5518658962</v>
      </c>
      <c r="E9" s="151">
        <f>'C9'!F18</f>
        <v>3242035.6174256648</v>
      </c>
      <c r="F9" s="151">
        <f>'C9'!G18</f>
        <v>4214646.3026533639</v>
      </c>
      <c r="G9" s="151">
        <f>'C9'!H18</f>
        <v>5479040.1934493743</v>
      </c>
    </row>
    <row r="10" spans="1:11" s="110" customFormat="1">
      <c r="A10" s="2" t="s">
        <v>337</v>
      </c>
      <c r="B10" s="7" t="s">
        <v>338</v>
      </c>
      <c r="C10" s="131">
        <f>SUM(C8:C9)-C8</f>
        <v>1094618.6528420616</v>
      </c>
      <c r="D10" s="131">
        <f t="shared" ref="D10:G10" si="0">SUM(D8:D9)-D8</f>
        <v>2493873.5518658962</v>
      </c>
      <c r="E10" s="131">
        <f t="shared" si="0"/>
        <v>3242035.6174256653</v>
      </c>
      <c r="F10" s="131">
        <f>SUM(F8:F9)-F8</f>
        <v>4214646.3026533639</v>
      </c>
      <c r="G10" s="131">
        <f t="shared" si="0"/>
        <v>5479040.1934493743</v>
      </c>
      <c r="H10" s="2"/>
      <c r="I10" s="2"/>
      <c r="J10" s="2"/>
      <c r="K10" s="2"/>
    </row>
    <row r="11" spans="1:11" s="110" customFormat="1">
      <c r="A11" s="2"/>
      <c r="B11" s="7"/>
      <c r="C11" s="233"/>
      <c r="D11" s="233"/>
      <c r="E11" s="233"/>
      <c r="F11" s="233"/>
      <c r="G11" s="233"/>
      <c r="H11" s="2"/>
      <c r="I11" s="2"/>
      <c r="J11" s="2"/>
      <c r="K11" s="2"/>
    </row>
    <row r="12" spans="1:11">
      <c r="A12" s="2"/>
      <c r="B12" s="7" t="s">
        <v>339</v>
      </c>
      <c r="C12" s="8" t="s">
        <v>439</v>
      </c>
      <c r="D12" s="8" t="s">
        <v>439</v>
      </c>
      <c r="E12" s="8" t="s">
        <v>439</v>
      </c>
      <c r="F12" s="8" t="s">
        <v>439</v>
      </c>
      <c r="G12" s="8" t="s">
        <v>439</v>
      </c>
    </row>
    <row r="13" spans="1:11">
      <c r="B13" s="234" t="str">
        <f>[1]C10!B11</f>
        <v xml:space="preserve">  Volumen de ocupación</v>
      </c>
      <c r="C13" s="151">
        <f>'C6F'!C13+'C6F'!C9</f>
        <v>1314044.2560000001</v>
      </c>
      <c r="D13" s="151">
        <f>'C6F'!D13+'C6F'!D9</f>
        <v>2447250.2208000002</v>
      </c>
      <c r="E13" s="151">
        <f>'C6F'!E13+'C6F'!E9</f>
        <v>2691975.2428799998</v>
      </c>
      <c r="F13" s="151">
        <f>'C6F'!F13+'C6F'!F9</f>
        <v>2961172.7671680003</v>
      </c>
      <c r="G13" s="151">
        <f>'C6F'!G13+'C6F'!G9</f>
        <v>3257290.0438847998</v>
      </c>
    </row>
    <row r="14" spans="1:11">
      <c r="B14" s="234" t="str">
        <f>[1]C10!B14</f>
        <v xml:space="preserve">  Intereses crediticios</v>
      </c>
      <c r="C14" s="151">
        <f>'C5'!D42</f>
        <v>2283042.6707283775</v>
      </c>
      <c r="D14" s="151">
        <f>'C5'!D43</f>
        <v>2139169.9877203838</v>
      </c>
      <c r="E14" s="151">
        <f>'C5'!D44</f>
        <v>1702995.1000706363</v>
      </c>
      <c r="F14" s="151">
        <f>'C5'!D45</f>
        <v>1162138.2393849492</v>
      </c>
      <c r="G14" s="151">
        <f>'C5'!D46</f>
        <v>491475.73213469697</v>
      </c>
    </row>
    <row r="15" spans="1:11">
      <c r="B15" s="9" t="s">
        <v>340</v>
      </c>
      <c r="C15" s="151">
        <f>'C10'!C13</f>
        <v>688400.21563674568</v>
      </c>
      <c r="D15" s="151">
        <f>'C10'!D13</f>
        <v>3772764.8962982902</v>
      </c>
      <c r="E15" s="151">
        <f>'C10'!E13</f>
        <v>15846070.844304875</v>
      </c>
      <c r="F15" s="151">
        <f>'C10'!F13</f>
        <v>19648838.154077068</v>
      </c>
      <c r="G15" s="151">
        <f>'C10'!G13</f>
        <v>24180012.27830378</v>
      </c>
    </row>
    <row r="16" spans="1:11">
      <c r="B16" s="9" t="s">
        <v>341</v>
      </c>
      <c r="C16" s="151">
        <f>'C10'!C12</f>
        <v>312963.74744923261</v>
      </c>
      <c r="D16" s="151">
        <f>'C10'!D12</f>
        <v>1901878.8859718468</v>
      </c>
      <c r="E16" s="151">
        <f>'C10'!E12</f>
        <v>8121460.7379752398</v>
      </c>
      <c r="F16" s="151">
        <f>'C10'!F12</f>
        <v>10080462.079373036</v>
      </c>
      <c r="G16" s="151">
        <f>'C10'!G12</f>
        <v>12414703.294883765</v>
      </c>
    </row>
    <row r="17" spans="1:11" s="110" customFormat="1">
      <c r="A17" s="2" t="s">
        <v>342</v>
      </c>
      <c r="B17" s="7" t="s">
        <v>343</v>
      </c>
      <c r="C17" s="131">
        <f>SUM(C13:C16)</f>
        <v>4598450.8898143554</v>
      </c>
      <c r="D17" s="131">
        <f>SUM(D13:D16)</f>
        <v>10261063.990790522</v>
      </c>
      <c r="E17" s="131">
        <f>SUM(E13:E16)</f>
        <v>28362501.925230749</v>
      </c>
      <c r="F17" s="131">
        <f>SUM(F13:F16)</f>
        <v>33852611.240003049</v>
      </c>
      <c r="G17" s="131">
        <f>SUM(G13:G16)</f>
        <v>40343481.349207044</v>
      </c>
      <c r="H17" s="2"/>
      <c r="I17" s="2"/>
      <c r="J17" s="2"/>
      <c r="K17" s="2"/>
    </row>
    <row r="18" spans="1:11" s="110" customFormat="1">
      <c r="A18" s="2" t="s">
        <v>344</v>
      </c>
      <c r="B18" s="7" t="s">
        <v>353</v>
      </c>
      <c r="C18" s="131">
        <f>SUM(C10+C17)</f>
        <v>5693069.542656417</v>
      </c>
      <c r="D18" s="131">
        <f>SUM(D10+D17)</f>
        <v>12754937.542656418</v>
      </c>
      <c r="E18" s="131">
        <f>SUM(E10+E17)</f>
        <v>31604537.542656414</v>
      </c>
      <c r="F18" s="131">
        <f>SUM(F10+F17)</f>
        <v>38067257.542656414</v>
      </c>
      <c r="G18" s="131">
        <f>SUM(G10+G17)</f>
        <v>45822521.542656422</v>
      </c>
      <c r="H18" s="2"/>
      <c r="I18" s="2"/>
      <c r="J18" s="2"/>
      <c r="K18" s="2"/>
    </row>
    <row r="19" spans="1:11">
      <c r="A19" s="2" t="s">
        <v>345</v>
      </c>
      <c r="B19" s="9" t="s">
        <v>346</v>
      </c>
      <c r="C19" s="127">
        <f>'C4'!D21</f>
        <v>709062.45734358253</v>
      </c>
      <c r="D19" s="127">
        <f>'C4'!E21</f>
        <v>709062.45734358253</v>
      </c>
      <c r="E19" s="127">
        <f>'C4'!F21</f>
        <v>709062.45734358253</v>
      </c>
      <c r="F19" s="127">
        <f>'C4'!G21</f>
        <v>709062.45734358253</v>
      </c>
      <c r="G19" s="127">
        <f>'C4'!H21</f>
        <v>709062.45734358253</v>
      </c>
    </row>
    <row r="20" spans="1:11">
      <c r="A20" s="2" t="s">
        <v>347</v>
      </c>
      <c r="B20" s="7" t="s">
        <v>348</v>
      </c>
      <c r="C20" s="131">
        <f>SUM(C18:C19)</f>
        <v>6402132</v>
      </c>
      <c r="D20" s="131">
        <f>SUM(D18:D19)</f>
        <v>13464000</v>
      </c>
      <c r="E20" s="131">
        <f>SUM(E18:E19)</f>
        <v>32313599.999999996</v>
      </c>
      <c r="F20" s="131">
        <f>SUM(F18:F19)</f>
        <v>38776320</v>
      </c>
      <c r="G20" s="131">
        <f>SUM(G18:G19)</f>
        <v>46531584.000000007</v>
      </c>
    </row>
    <row r="21" spans="1:11">
      <c r="C21" s="5"/>
      <c r="D21" s="5"/>
      <c r="E21" s="5"/>
      <c r="F21" s="5"/>
      <c r="G21" s="5"/>
    </row>
    <row r="22" spans="1:11">
      <c r="B22" s="7" t="s">
        <v>349</v>
      </c>
      <c r="C22" s="26">
        <f>C17/C18</f>
        <v>0.80772786198369417</v>
      </c>
      <c r="D22" s="26">
        <f>D17/D18</f>
        <v>0.80447779195110758</v>
      </c>
      <c r="E22" s="26">
        <f>E17/E18</f>
        <v>0.89741866613140875</v>
      </c>
      <c r="F22" s="26">
        <f>F17/F18</f>
        <v>0.88928421497317933</v>
      </c>
      <c r="G22" s="26">
        <f>G17/G18</f>
        <v>0.88042909885810383</v>
      </c>
    </row>
    <row r="23" spans="1:11">
      <c r="B23" s="7" t="s">
        <v>471</v>
      </c>
      <c r="C23" s="269">
        <f>AVERAGE(C22:G22)</f>
        <v>0.85586752677949873</v>
      </c>
      <c r="D23" s="5"/>
      <c r="E23" s="5"/>
      <c r="F23" s="5"/>
      <c r="G23" s="5"/>
    </row>
    <row r="24" spans="1:11">
      <c r="C24" s="27"/>
      <c r="D24" s="5"/>
      <c r="E24" s="5"/>
      <c r="F24" s="5"/>
      <c r="G24" s="5"/>
    </row>
    <row r="25" spans="1:11">
      <c r="B25" s="2" t="s">
        <v>350</v>
      </c>
      <c r="C25" s="5"/>
      <c r="D25" s="5"/>
      <c r="E25" s="5"/>
      <c r="F25" s="5"/>
      <c r="G25" s="5"/>
    </row>
    <row r="26" spans="1:11">
      <c r="B26" s="3" t="s">
        <v>351</v>
      </c>
      <c r="C26" s="118">
        <f>'C8'!D21</f>
        <v>6402131.9999999991</v>
      </c>
      <c r="D26" s="118">
        <f>'C8'!E21</f>
        <v>13464000</v>
      </c>
      <c r="E26" s="118">
        <f>'C8'!F21</f>
        <v>32313600</v>
      </c>
      <c r="F26" s="118">
        <f>'C8'!G21</f>
        <v>38776320</v>
      </c>
      <c r="G26" s="118">
        <f>'C8'!H21</f>
        <v>46531584</v>
      </c>
    </row>
    <row r="31" spans="1:11">
      <c r="C31" s="5"/>
    </row>
  </sheetData>
  <mergeCells count="1">
    <mergeCell ref="A2:G2"/>
  </mergeCells>
  <printOptions horizontalCentered="1" verticalCentered="1"/>
  <pageMargins left="0.78740157480314965" right="0.78740157480314965" top="0.78740157480314965" bottom="0.78740157480314965" header="0" footer="0"/>
  <pageSetup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6"/>
  <sheetViews>
    <sheetView topLeftCell="A22" workbookViewId="0">
      <selection activeCell="B43" sqref="B43"/>
    </sheetView>
  </sheetViews>
  <sheetFormatPr baseColWidth="10" defaultRowHeight="15.75"/>
  <cols>
    <col min="1" max="1" width="42" style="3" bestFit="1" customWidth="1"/>
    <col min="2" max="2" width="14.7109375" style="3" customWidth="1"/>
    <col min="3" max="3" width="14.28515625" style="3" customWidth="1"/>
    <col min="4" max="4" width="14.140625" style="3" customWidth="1"/>
    <col min="5" max="6" width="15.28515625" style="3" bestFit="1" customWidth="1"/>
    <col min="7" max="7" width="11.42578125" style="3"/>
    <col min="8" max="10" width="14.140625" style="3" bestFit="1" customWidth="1"/>
    <col min="11" max="12" width="14.140625" style="108" bestFit="1" customWidth="1"/>
    <col min="13" max="256" width="11.42578125" style="108"/>
    <col min="257" max="257" width="35.42578125" style="108" customWidth="1"/>
    <col min="258" max="258" width="12.5703125" style="108" customWidth="1"/>
    <col min="259" max="259" width="12.85546875" style="108" customWidth="1"/>
    <col min="260" max="260" width="13.85546875" style="108" bestFit="1" customWidth="1"/>
    <col min="261" max="262" width="13.28515625" style="108" bestFit="1" customWidth="1"/>
    <col min="263" max="512" width="11.42578125" style="108"/>
    <col min="513" max="513" width="35.42578125" style="108" customWidth="1"/>
    <col min="514" max="514" width="12.5703125" style="108" customWidth="1"/>
    <col min="515" max="515" width="12.85546875" style="108" customWidth="1"/>
    <col min="516" max="516" width="13.85546875" style="108" bestFit="1" customWidth="1"/>
    <col min="517" max="518" width="13.28515625" style="108" bestFit="1" customWidth="1"/>
    <col min="519" max="768" width="11.42578125" style="108"/>
    <col min="769" max="769" width="35.42578125" style="108" customWidth="1"/>
    <col min="770" max="770" width="12.5703125" style="108" customWidth="1"/>
    <col min="771" max="771" width="12.85546875" style="108" customWidth="1"/>
    <col min="772" max="772" width="13.85546875" style="108" bestFit="1" customWidth="1"/>
    <col min="773" max="774" width="13.28515625" style="108" bestFit="1" customWidth="1"/>
    <col min="775" max="1024" width="11.42578125" style="108"/>
    <col min="1025" max="1025" width="35.42578125" style="108" customWidth="1"/>
    <col min="1026" max="1026" width="12.5703125" style="108" customWidth="1"/>
    <col min="1027" max="1027" width="12.85546875" style="108" customWidth="1"/>
    <col min="1028" max="1028" width="13.85546875" style="108" bestFit="1" customWidth="1"/>
    <col min="1029" max="1030" width="13.28515625" style="108" bestFit="1" customWidth="1"/>
    <col min="1031" max="1280" width="11.42578125" style="108"/>
    <col min="1281" max="1281" width="35.42578125" style="108" customWidth="1"/>
    <col min="1282" max="1282" width="12.5703125" style="108" customWidth="1"/>
    <col min="1283" max="1283" width="12.85546875" style="108" customWidth="1"/>
    <col min="1284" max="1284" width="13.85546875" style="108" bestFit="1" customWidth="1"/>
    <col min="1285" max="1286" width="13.28515625" style="108" bestFit="1" customWidth="1"/>
    <col min="1287" max="1536" width="11.42578125" style="108"/>
    <col min="1537" max="1537" width="35.42578125" style="108" customWidth="1"/>
    <col min="1538" max="1538" width="12.5703125" style="108" customWidth="1"/>
    <col min="1539" max="1539" width="12.85546875" style="108" customWidth="1"/>
    <col min="1540" max="1540" width="13.85546875" style="108" bestFit="1" customWidth="1"/>
    <col min="1541" max="1542" width="13.28515625" style="108" bestFit="1" customWidth="1"/>
    <col min="1543" max="1792" width="11.42578125" style="108"/>
    <col min="1793" max="1793" width="35.42578125" style="108" customWidth="1"/>
    <col min="1794" max="1794" width="12.5703125" style="108" customWidth="1"/>
    <col min="1795" max="1795" width="12.85546875" style="108" customWidth="1"/>
    <col min="1796" max="1796" width="13.85546875" style="108" bestFit="1" customWidth="1"/>
    <col min="1797" max="1798" width="13.28515625" style="108" bestFit="1" customWidth="1"/>
    <col min="1799" max="2048" width="11.42578125" style="108"/>
    <col min="2049" max="2049" width="35.42578125" style="108" customWidth="1"/>
    <col min="2050" max="2050" width="12.5703125" style="108" customWidth="1"/>
    <col min="2051" max="2051" width="12.85546875" style="108" customWidth="1"/>
    <col min="2052" max="2052" width="13.85546875" style="108" bestFit="1" customWidth="1"/>
    <col min="2053" max="2054" width="13.28515625" style="108" bestFit="1" customWidth="1"/>
    <col min="2055" max="2304" width="11.42578125" style="108"/>
    <col min="2305" max="2305" width="35.42578125" style="108" customWidth="1"/>
    <col min="2306" max="2306" width="12.5703125" style="108" customWidth="1"/>
    <col min="2307" max="2307" width="12.85546875" style="108" customWidth="1"/>
    <col min="2308" max="2308" width="13.85546875" style="108" bestFit="1" customWidth="1"/>
    <col min="2309" max="2310" width="13.28515625" style="108" bestFit="1" customWidth="1"/>
    <col min="2311" max="2560" width="11.42578125" style="108"/>
    <col min="2561" max="2561" width="35.42578125" style="108" customWidth="1"/>
    <col min="2562" max="2562" width="12.5703125" style="108" customWidth="1"/>
    <col min="2563" max="2563" width="12.85546875" style="108" customWidth="1"/>
    <col min="2564" max="2564" width="13.85546875" style="108" bestFit="1" customWidth="1"/>
    <col min="2565" max="2566" width="13.28515625" style="108" bestFit="1" customWidth="1"/>
    <col min="2567" max="2816" width="11.42578125" style="108"/>
    <col min="2817" max="2817" width="35.42578125" style="108" customWidth="1"/>
    <col min="2818" max="2818" width="12.5703125" style="108" customWidth="1"/>
    <col min="2819" max="2819" width="12.85546875" style="108" customWidth="1"/>
    <col min="2820" max="2820" width="13.85546875" style="108" bestFit="1" customWidth="1"/>
    <col min="2821" max="2822" width="13.28515625" style="108" bestFit="1" customWidth="1"/>
    <col min="2823" max="3072" width="11.42578125" style="108"/>
    <col min="3073" max="3073" width="35.42578125" style="108" customWidth="1"/>
    <col min="3074" max="3074" width="12.5703125" style="108" customWidth="1"/>
    <col min="3075" max="3075" width="12.85546875" style="108" customWidth="1"/>
    <col min="3076" max="3076" width="13.85546875" style="108" bestFit="1" customWidth="1"/>
    <col min="3077" max="3078" width="13.28515625" style="108" bestFit="1" customWidth="1"/>
    <col min="3079" max="3328" width="11.42578125" style="108"/>
    <col min="3329" max="3329" width="35.42578125" style="108" customWidth="1"/>
    <col min="3330" max="3330" width="12.5703125" style="108" customWidth="1"/>
    <col min="3331" max="3331" width="12.85546875" style="108" customWidth="1"/>
    <col min="3332" max="3332" width="13.85546875" style="108" bestFit="1" customWidth="1"/>
    <col min="3333" max="3334" width="13.28515625" style="108" bestFit="1" customWidth="1"/>
    <col min="3335" max="3584" width="11.42578125" style="108"/>
    <col min="3585" max="3585" width="35.42578125" style="108" customWidth="1"/>
    <col min="3586" max="3586" width="12.5703125" style="108" customWidth="1"/>
    <col min="3587" max="3587" width="12.85546875" style="108" customWidth="1"/>
    <col min="3588" max="3588" width="13.85546875" style="108" bestFit="1" customWidth="1"/>
    <col min="3589" max="3590" width="13.28515625" style="108" bestFit="1" customWidth="1"/>
    <col min="3591" max="3840" width="11.42578125" style="108"/>
    <col min="3841" max="3841" width="35.42578125" style="108" customWidth="1"/>
    <col min="3842" max="3842" width="12.5703125" style="108" customWidth="1"/>
    <col min="3843" max="3843" width="12.85546875" style="108" customWidth="1"/>
    <col min="3844" max="3844" width="13.85546875" style="108" bestFit="1" customWidth="1"/>
    <col min="3845" max="3846" width="13.28515625" style="108" bestFit="1" customWidth="1"/>
    <col min="3847" max="4096" width="11.42578125" style="108"/>
    <col min="4097" max="4097" width="35.42578125" style="108" customWidth="1"/>
    <col min="4098" max="4098" width="12.5703125" style="108" customWidth="1"/>
    <col min="4099" max="4099" width="12.85546875" style="108" customWidth="1"/>
    <col min="4100" max="4100" width="13.85546875" style="108" bestFit="1" customWidth="1"/>
    <col min="4101" max="4102" width="13.28515625" style="108" bestFit="1" customWidth="1"/>
    <col min="4103" max="4352" width="11.42578125" style="108"/>
    <col min="4353" max="4353" width="35.42578125" style="108" customWidth="1"/>
    <col min="4354" max="4354" width="12.5703125" style="108" customWidth="1"/>
    <col min="4355" max="4355" width="12.85546875" style="108" customWidth="1"/>
    <col min="4356" max="4356" width="13.85546875" style="108" bestFit="1" customWidth="1"/>
    <col min="4357" max="4358" width="13.28515625" style="108" bestFit="1" customWidth="1"/>
    <col min="4359" max="4608" width="11.42578125" style="108"/>
    <col min="4609" max="4609" width="35.42578125" style="108" customWidth="1"/>
    <col min="4610" max="4610" width="12.5703125" style="108" customWidth="1"/>
    <col min="4611" max="4611" width="12.85546875" style="108" customWidth="1"/>
    <col min="4612" max="4612" width="13.85546875" style="108" bestFit="1" customWidth="1"/>
    <col min="4613" max="4614" width="13.28515625" style="108" bestFit="1" customWidth="1"/>
    <col min="4615" max="4864" width="11.42578125" style="108"/>
    <col min="4865" max="4865" width="35.42578125" style="108" customWidth="1"/>
    <col min="4866" max="4866" width="12.5703125" style="108" customWidth="1"/>
    <col min="4867" max="4867" width="12.85546875" style="108" customWidth="1"/>
    <col min="4868" max="4868" width="13.85546875" style="108" bestFit="1" customWidth="1"/>
    <col min="4869" max="4870" width="13.28515625" style="108" bestFit="1" customWidth="1"/>
    <col min="4871" max="5120" width="11.42578125" style="108"/>
    <col min="5121" max="5121" width="35.42578125" style="108" customWidth="1"/>
    <col min="5122" max="5122" width="12.5703125" style="108" customWidth="1"/>
    <col min="5123" max="5123" width="12.85546875" style="108" customWidth="1"/>
    <col min="5124" max="5124" width="13.85546875" style="108" bestFit="1" customWidth="1"/>
    <col min="5125" max="5126" width="13.28515625" style="108" bestFit="1" customWidth="1"/>
    <col min="5127" max="5376" width="11.42578125" style="108"/>
    <col min="5377" max="5377" width="35.42578125" style="108" customWidth="1"/>
    <col min="5378" max="5378" width="12.5703125" style="108" customWidth="1"/>
    <col min="5379" max="5379" width="12.85546875" style="108" customWidth="1"/>
    <col min="5380" max="5380" width="13.85546875" style="108" bestFit="1" customWidth="1"/>
    <col min="5381" max="5382" width="13.28515625" style="108" bestFit="1" customWidth="1"/>
    <col min="5383" max="5632" width="11.42578125" style="108"/>
    <col min="5633" max="5633" width="35.42578125" style="108" customWidth="1"/>
    <col min="5634" max="5634" width="12.5703125" style="108" customWidth="1"/>
    <col min="5635" max="5635" width="12.85546875" style="108" customWidth="1"/>
    <col min="5636" max="5636" width="13.85546875" style="108" bestFit="1" customWidth="1"/>
    <col min="5637" max="5638" width="13.28515625" style="108" bestFit="1" customWidth="1"/>
    <col min="5639" max="5888" width="11.42578125" style="108"/>
    <col min="5889" max="5889" width="35.42578125" style="108" customWidth="1"/>
    <col min="5890" max="5890" width="12.5703125" style="108" customWidth="1"/>
    <col min="5891" max="5891" width="12.85546875" style="108" customWidth="1"/>
    <col min="5892" max="5892" width="13.85546875" style="108" bestFit="1" customWidth="1"/>
    <col min="5893" max="5894" width="13.28515625" style="108" bestFit="1" customWidth="1"/>
    <col min="5895" max="6144" width="11.42578125" style="108"/>
    <col min="6145" max="6145" width="35.42578125" style="108" customWidth="1"/>
    <col min="6146" max="6146" width="12.5703125" style="108" customWidth="1"/>
    <col min="6147" max="6147" width="12.85546875" style="108" customWidth="1"/>
    <col min="6148" max="6148" width="13.85546875" style="108" bestFit="1" customWidth="1"/>
    <col min="6149" max="6150" width="13.28515625" style="108" bestFit="1" customWidth="1"/>
    <col min="6151" max="6400" width="11.42578125" style="108"/>
    <col min="6401" max="6401" width="35.42578125" style="108" customWidth="1"/>
    <col min="6402" max="6402" width="12.5703125" style="108" customWidth="1"/>
    <col min="6403" max="6403" width="12.85546875" style="108" customWidth="1"/>
    <col min="6404" max="6404" width="13.85546875" style="108" bestFit="1" customWidth="1"/>
    <col min="6405" max="6406" width="13.28515625" style="108" bestFit="1" customWidth="1"/>
    <col min="6407" max="6656" width="11.42578125" style="108"/>
    <col min="6657" max="6657" width="35.42578125" style="108" customWidth="1"/>
    <col min="6658" max="6658" width="12.5703125" style="108" customWidth="1"/>
    <col min="6659" max="6659" width="12.85546875" style="108" customWidth="1"/>
    <col min="6660" max="6660" width="13.85546875" style="108" bestFit="1" customWidth="1"/>
    <col min="6661" max="6662" width="13.28515625" style="108" bestFit="1" customWidth="1"/>
    <col min="6663" max="6912" width="11.42578125" style="108"/>
    <col min="6913" max="6913" width="35.42578125" style="108" customWidth="1"/>
    <col min="6914" max="6914" width="12.5703125" style="108" customWidth="1"/>
    <col min="6915" max="6915" width="12.85546875" style="108" customWidth="1"/>
    <col min="6916" max="6916" width="13.85546875" style="108" bestFit="1" customWidth="1"/>
    <col min="6917" max="6918" width="13.28515625" style="108" bestFit="1" customWidth="1"/>
    <col min="6919" max="7168" width="11.42578125" style="108"/>
    <col min="7169" max="7169" width="35.42578125" style="108" customWidth="1"/>
    <col min="7170" max="7170" width="12.5703125" style="108" customWidth="1"/>
    <col min="7171" max="7171" width="12.85546875" style="108" customWidth="1"/>
    <col min="7172" max="7172" width="13.85546875" style="108" bestFit="1" customWidth="1"/>
    <col min="7173" max="7174" width="13.28515625" style="108" bestFit="1" customWidth="1"/>
    <col min="7175" max="7424" width="11.42578125" style="108"/>
    <col min="7425" max="7425" width="35.42578125" style="108" customWidth="1"/>
    <col min="7426" max="7426" width="12.5703125" style="108" customWidth="1"/>
    <col min="7427" max="7427" width="12.85546875" style="108" customWidth="1"/>
    <col min="7428" max="7428" width="13.85546875" style="108" bestFit="1" customWidth="1"/>
    <col min="7429" max="7430" width="13.28515625" style="108" bestFit="1" customWidth="1"/>
    <col min="7431" max="7680" width="11.42578125" style="108"/>
    <col min="7681" max="7681" width="35.42578125" style="108" customWidth="1"/>
    <col min="7682" max="7682" width="12.5703125" style="108" customWidth="1"/>
    <col min="7683" max="7683" width="12.85546875" style="108" customWidth="1"/>
    <col min="7684" max="7684" width="13.85546875" style="108" bestFit="1" customWidth="1"/>
    <col min="7685" max="7686" width="13.28515625" style="108" bestFit="1" customWidth="1"/>
    <col min="7687" max="7936" width="11.42578125" style="108"/>
    <col min="7937" max="7937" width="35.42578125" style="108" customWidth="1"/>
    <col min="7938" max="7938" width="12.5703125" style="108" customWidth="1"/>
    <col min="7939" max="7939" width="12.85546875" style="108" customWidth="1"/>
    <col min="7940" max="7940" width="13.85546875" style="108" bestFit="1" customWidth="1"/>
    <col min="7941" max="7942" width="13.28515625" style="108" bestFit="1" customWidth="1"/>
    <col min="7943" max="8192" width="11.42578125" style="108"/>
    <col min="8193" max="8193" width="35.42578125" style="108" customWidth="1"/>
    <col min="8194" max="8194" width="12.5703125" style="108" customWidth="1"/>
    <col min="8195" max="8195" width="12.85546875" style="108" customWidth="1"/>
    <col min="8196" max="8196" width="13.85546875" style="108" bestFit="1" customWidth="1"/>
    <col min="8197" max="8198" width="13.28515625" style="108" bestFit="1" customWidth="1"/>
    <col min="8199" max="8448" width="11.42578125" style="108"/>
    <col min="8449" max="8449" width="35.42578125" style="108" customWidth="1"/>
    <col min="8450" max="8450" width="12.5703125" style="108" customWidth="1"/>
    <col min="8451" max="8451" width="12.85546875" style="108" customWidth="1"/>
    <col min="8452" max="8452" width="13.85546875" style="108" bestFit="1" customWidth="1"/>
    <col min="8453" max="8454" width="13.28515625" style="108" bestFit="1" customWidth="1"/>
    <col min="8455" max="8704" width="11.42578125" style="108"/>
    <col min="8705" max="8705" width="35.42578125" style="108" customWidth="1"/>
    <col min="8706" max="8706" width="12.5703125" style="108" customWidth="1"/>
    <col min="8707" max="8707" width="12.85546875" style="108" customWidth="1"/>
    <col min="8708" max="8708" width="13.85546875" style="108" bestFit="1" customWidth="1"/>
    <col min="8709" max="8710" width="13.28515625" style="108" bestFit="1" customWidth="1"/>
    <col min="8711" max="8960" width="11.42578125" style="108"/>
    <col min="8961" max="8961" width="35.42578125" style="108" customWidth="1"/>
    <col min="8962" max="8962" width="12.5703125" style="108" customWidth="1"/>
    <col min="8963" max="8963" width="12.85546875" style="108" customWidth="1"/>
    <col min="8964" max="8964" width="13.85546875" style="108" bestFit="1" customWidth="1"/>
    <col min="8965" max="8966" width="13.28515625" style="108" bestFit="1" customWidth="1"/>
    <col min="8967" max="9216" width="11.42578125" style="108"/>
    <col min="9217" max="9217" width="35.42578125" style="108" customWidth="1"/>
    <col min="9218" max="9218" width="12.5703125" style="108" customWidth="1"/>
    <col min="9219" max="9219" width="12.85546875" style="108" customWidth="1"/>
    <col min="9220" max="9220" width="13.85546875" style="108" bestFit="1" customWidth="1"/>
    <col min="9221" max="9222" width="13.28515625" style="108" bestFit="1" customWidth="1"/>
    <col min="9223" max="9472" width="11.42578125" style="108"/>
    <col min="9473" max="9473" width="35.42578125" style="108" customWidth="1"/>
    <col min="9474" max="9474" width="12.5703125" style="108" customWidth="1"/>
    <col min="9475" max="9475" width="12.85546875" style="108" customWidth="1"/>
    <col min="9476" max="9476" width="13.85546875" style="108" bestFit="1" customWidth="1"/>
    <col min="9477" max="9478" width="13.28515625" style="108" bestFit="1" customWidth="1"/>
    <col min="9479" max="9728" width="11.42578125" style="108"/>
    <col min="9729" max="9729" width="35.42578125" style="108" customWidth="1"/>
    <col min="9730" max="9730" width="12.5703125" style="108" customWidth="1"/>
    <col min="9731" max="9731" width="12.85546875" style="108" customWidth="1"/>
    <col min="9732" max="9732" width="13.85546875" style="108" bestFit="1" customWidth="1"/>
    <col min="9733" max="9734" width="13.28515625" style="108" bestFit="1" customWidth="1"/>
    <col min="9735" max="9984" width="11.42578125" style="108"/>
    <col min="9985" max="9985" width="35.42578125" style="108" customWidth="1"/>
    <col min="9986" max="9986" width="12.5703125" style="108" customWidth="1"/>
    <col min="9987" max="9987" width="12.85546875" style="108" customWidth="1"/>
    <col min="9988" max="9988" width="13.85546875" style="108" bestFit="1" customWidth="1"/>
    <col min="9989" max="9990" width="13.28515625" style="108" bestFit="1" customWidth="1"/>
    <col min="9991" max="10240" width="11.42578125" style="108"/>
    <col min="10241" max="10241" width="35.42578125" style="108" customWidth="1"/>
    <col min="10242" max="10242" width="12.5703125" style="108" customWidth="1"/>
    <col min="10243" max="10243" width="12.85546875" style="108" customWidth="1"/>
    <col min="10244" max="10244" width="13.85546875" style="108" bestFit="1" customWidth="1"/>
    <col min="10245" max="10246" width="13.28515625" style="108" bestFit="1" customWidth="1"/>
    <col min="10247" max="10496" width="11.42578125" style="108"/>
    <col min="10497" max="10497" width="35.42578125" style="108" customWidth="1"/>
    <col min="10498" max="10498" width="12.5703125" style="108" customWidth="1"/>
    <col min="10499" max="10499" width="12.85546875" style="108" customWidth="1"/>
    <col min="10500" max="10500" width="13.85546875" style="108" bestFit="1" customWidth="1"/>
    <col min="10501" max="10502" width="13.28515625" style="108" bestFit="1" customWidth="1"/>
    <col min="10503" max="10752" width="11.42578125" style="108"/>
    <col min="10753" max="10753" width="35.42578125" style="108" customWidth="1"/>
    <col min="10754" max="10754" width="12.5703125" style="108" customWidth="1"/>
    <col min="10755" max="10755" width="12.85546875" style="108" customWidth="1"/>
    <col min="10756" max="10756" width="13.85546875" style="108" bestFit="1" customWidth="1"/>
    <col min="10757" max="10758" width="13.28515625" style="108" bestFit="1" customWidth="1"/>
    <col min="10759" max="11008" width="11.42578125" style="108"/>
    <col min="11009" max="11009" width="35.42578125" style="108" customWidth="1"/>
    <col min="11010" max="11010" width="12.5703125" style="108" customWidth="1"/>
    <col min="11011" max="11011" width="12.85546875" style="108" customWidth="1"/>
    <col min="11012" max="11012" width="13.85546875" style="108" bestFit="1" customWidth="1"/>
    <col min="11013" max="11014" width="13.28515625" style="108" bestFit="1" customWidth="1"/>
    <col min="11015" max="11264" width="11.42578125" style="108"/>
    <col min="11265" max="11265" width="35.42578125" style="108" customWidth="1"/>
    <col min="11266" max="11266" width="12.5703125" style="108" customWidth="1"/>
    <col min="11267" max="11267" width="12.85546875" style="108" customWidth="1"/>
    <col min="11268" max="11268" width="13.85546875" style="108" bestFit="1" customWidth="1"/>
    <col min="11269" max="11270" width="13.28515625" style="108" bestFit="1" customWidth="1"/>
    <col min="11271" max="11520" width="11.42578125" style="108"/>
    <col min="11521" max="11521" width="35.42578125" style="108" customWidth="1"/>
    <col min="11522" max="11522" width="12.5703125" style="108" customWidth="1"/>
    <col min="11523" max="11523" width="12.85546875" style="108" customWidth="1"/>
    <col min="11524" max="11524" width="13.85546875" style="108" bestFit="1" customWidth="1"/>
    <col min="11525" max="11526" width="13.28515625" style="108" bestFit="1" customWidth="1"/>
    <col min="11527" max="11776" width="11.42578125" style="108"/>
    <col min="11777" max="11777" width="35.42578125" style="108" customWidth="1"/>
    <col min="11778" max="11778" width="12.5703125" style="108" customWidth="1"/>
    <col min="11779" max="11779" width="12.85546875" style="108" customWidth="1"/>
    <col min="11780" max="11780" width="13.85546875" style="108" bestFit="1" customWidth="1"/>
    <col min="11781" max="11782" width="13.28515625" style="108" bestFit="1" customWidth="1"/>
    <col min="11783" max="12032" width="11.42578125" style="108"/>
    <col min="12033" max="12033" width="35.42578125" style="108" customWidth="1"/>
    <col min="12034" max="12034" width="12.5703125" style="108" customWidth="1"/>
    <col min="12035" max="12035" width="12.85546875" style="108" customWidth="1"/>
    <col min="12036" max="12036" width="13.85546875" style="108" bestFit="1" customWidth="1"/>
    <col min="12037" max="12038" width="13.28515625" style="108" bestFit="1" customWidth="1"/>
    <col min="12039" max="12288" width="11.42578125" style="108"/>
    <col min="12289" max="12289" width="35.42578125" style="108" customWidth="1"/>
    <col min="12290" max="12290" width="12.5703125" style="108" customWidth="1"/>
    <col min="12291" max="12291" width="12.85546875" style="108" customWidth="1"/>
    <col min="12292" max="12292" width="13.85546875" style="108" bestFit="1" customWidth="1"/>
    <col min="12293" max="12294" width="13.28515625" style="108" bestFit="1" customWidth="1"/>
    <col min="12295" max="12544" width="11.42578125" style="108"/>
    <col min="12545" max="12545" width="35.42578125" style="108" customWidth="1"/>
    <col min="12546" max="12546" width="12.5703125" style="108" customWidth="1"/>
    <col min="12547" max="12547" width="12.85546875" style="108" customWidth="1"/>
    <col min="12548" max="12548" width="13.85546875" style="108" bestFit="1" customWidth="1"/>
    <col min="12549" max="12550" width="13.28515625" style="108" bestFit="1" customWidth="1"/>
    <col min="12551" max="12800" width="11.42578125" style="108"/>
    <col min="12801" max="12801" width="35.42578125" style="108" customWidth="1"/>
    <col min="12802" max="12802" width="12.5703125" style="108" customWidth="1"/>
    <col min="12803" max="12803" width="12.85546875" style="108" customWidth="1"/>
    <col min="12804" max="12804" width="13.85546875" style="108" bestFit="1" customWidth="1"/>
    <col min="12805" max="12806" width="13.28515625" style="108" bestFit="1" customWidth="1"/>
    <col min="12807" max="13056" width="11.42578125" style="108"/>
    <col min="13057" max="13057" width="35.42578125" style="108" customWidth="1"/>
    <col min="13058" max="13058" width="12.5703125" style="108" customWidth="1"/>
    <col min="13059" max="13059" width="12.85546875" style="108" customWidth="1"/>
    <col min="13060" max="13060" width="13.85546875" style="108" bestFit="1" customWidth="1"/>
    <col min="13061" max="13062" width="13.28515625" style="108" bestFit="1" customWidth="1"/>
    <col min="13063" max="13312" width="11.42578125" style="108"/>
    <col min="13313" max="13313" width="35.42578125" style="108" customWidth="1"/>
    <col min="13314" max="13314" width="12.5703125" style="108" customWidth="1"/>
    <col min="13315" max="13315" width="12.85546875" style="108" customWidth="1"/>
    <col min="13316" max="13316" width="13.85546875" style="108" bestFit="1" customWidth="1"/>
    <col min="13317" max="13318" width="13.28515625" style="108" bestFit="1" customWidth="1"/>
    <col min="13319" max="13568" width="11.42578125" style="108"/>
    <col min="13569" max="13569" width="35.42578125" style="108" customWidth="1"/>
    <col min="13570" max="13570" width="12.5703125" style="108" customWidth="1"/>
    <col min="13571" max="13571" width="12.85546875" style="108" customWidth="1"/>
    <col min="13572" max="13572" width="13.85546875" style="108" bestFit="1" customWidth="1"/>
    <col min="13573" max="13574" width="13.28515625" style="108" bestFit="1" customWidth="1"/>
    <col min="13575" max="13824" width="11.42578125" style="108"/>
    <col min="13825" max="13825" width="35.42578125" style="108" customWidth="1"/>
    <col min="13826" max="13826" width="12.5703125" style="108" customWidth="1"/>
    <col min="13827" max="13827" width="12.85546875" style="108" customWidth="1"/>
    <col min="13828" max="13828" width="13.85546875" style="108" bestFit="1" customWidth="1"/>
    <col min="13829" max="13830" width="13.28515625" style="108" bestFit="1" customWidth="1"/>
    <col min="13831" max="14080" width="11.42578125" style="108"/>
    <col min="14081" max="14081" width="35.42578125" style="108" customWidth="1"/>
    <col min="14082" max="14082" width="12.5703125" style="108" customWidth="1"/>
    <col min="14083" max="14083" width="12.85546875" style="108" customWidth="1"/>
    <col min="14084" max="14084" width="13.85546875" style="108" bestFit="1" customWidth="1"/>
    <col min="14085" max="14086" width="13.28515625" style="108" bestFit="1" customWidth="1"/>
    <col min="14087" max="14336" width="11.42578125" style="108"/>
    <col min="14337" max="14337" width="35.42578125" style="108" customWidth="1"/>
    <col min="14338" max="14338" width="12.5703125" style="108" customWidth="1"/>
    <col min="14339" max="14339" width="12.85546875" style="108" customWidth="1"/>
    <col min="14340" max="14340" width="13.85546875" style="108" bestFit="1" customWidth="1"/>
    <col min="14341" max="14342" width="13.28515625" style="108" bestFit="1" customWidth="1"/>
    <col min="14343" max="14592" width="11.42578125" style="108"/>
    <col min="14593" max="14593" width="35.42578125" style="108" customWidth="1"/>
    <col min="14594" max="14594" width="12.5703125" style="108" customWidth="1"/>
    <col min="14595" max="14595" width="12.85546875" style="108" customWidth="1"/>
    <col min="14596" max="14596" width="13.85546875" style="108" bestFit="1" customWidth="1"/>
    <col min="14597" max="14598" width="13.28515625" style="108" bestFit="1" customWidth="1"/>
    <col min="14599" max="14848" width="11.42578125" style="108"/>
    <col min="14849" max="14849" width="35.42578125" style="108" customWidth="1"/>
    <col min="14850" max="14850" width="12.5703125" style="108" customWidth="1"/>
    <col min="14851" max="14851" width="12.85546875" style="108" customWidth="1"/>
    <col min="14852" max="14852" width="13.85546875" style="108" bestFit="1" customWidth="1"/>
    <col min="14853" max="14854" width="13.28515625" style="108" bestFit="1" customWidth="1"/>
    <col min="14855" max="15104" width="11.42578125" style="108"/>
    <col min="15105" max="15105" width="35.42578125" style="108" customWidth="1"/>
    <col min="15106" max="15106" width="12.5703125" style="108" customWidth="1"/>
    <col min="15107" max="15107" width="12.85546875" style="108" customWidth="1"/>
    <col min="15108" max="15108" width="13.85546875" style="108" bestFit="1" customWidth="1"/>
    <col min="15109" max="15110" width="13.28515625" style="108" bestFit="1" customWidth="1"/>
    <col min="15111" max="15360" width="11.42578125" style="108"/>
    <col min="15361" max="15361" width="35.42578125" style="108" customWidth="1"/>
    <col min="15362" max="15362" width="12.5703125" style="108" customWidth="1"/>
    <col min="15363" max="15363" width="12.85546875" style="108" customWidth="1"/>
    <col min="15364" max="15364" width="13.85546875" style="108" bestFit="1" customWidth="1"/>
    <col min="15365" max="15366" width="13.28515625" style="108" bestFit="1" customWidth="1"/>
    <col min="15367" max="15616" width="11.42578125" style="108"/>
    <col min="15617" max="15617" width="35.42578125" style="108" customWidth="1"/>
    <col min="15618" max="15618" width="12.5703125" style="108" customWidth="1"/>
    <col min="15619" max="15619" width="12.85546875" style="108" customWidth="1"/>
    <col min="15620" max="15620" width="13.85546875" style="108" bestFit="1" customWidth="1"/>
    <col min="15621" max="15622" width="13.28515625" style="108" bestFit="1" customWidth="1"/>
    <col min="15623" max="15872" width="11.42578125" style="108"/>
    <col min="15873" max="15873" width="35.42578125" style="108" customWidth="1"/>
    <col min="15874" max="15874" width="12.5703125" style="108" customWidth="1"/>
    <col min="15875" max="15875" width="12.85546875" style="108" customWidth="1"/>
    <col min="15876" max="15876" width="13.85546875" style="108" bestFit="1" customWidth="1"/>
    <col min="15877" max="15878" width="13.28515625" style="108" bestFit="1" customWidth="1"/>
    <col min="15879" max="16128" width="11.42578125" style="108"/>
    <col min="16129" max="16129" width="35.42578125" style="108" customWidth="1"/>
    <col min="16130" max="16130" width="12.5703125" style="108" customWidth="1"/>
    <col min="16131" max="16131" width="12.85546875" style="108" customWidth="1"/>
    <col min="16132" max="16132" width="13.85546875" style="108" bestFit="1" customWidth="1"/>
    <col min="16133" max="16134" width="13.28515625" style="108" bestFit="1" customWidth="1"/>
    <col min="16135" max="16384" width="11.42578125" style="108"/>
  </cols>
  <sheetData>
    <row r="2" spans="1:12" s="235" customFormat="1">
      <c r="A2" s="294" t="s">
        <v>354</v>
      </c>
      <c r="B2" s="294"/>
      <c r="C2" s="294"/>
      <c r="D2" s="294"/>
      <c r="E2" s="294"/>
      <c r="F2" s="294"/>
      <c r="G2" s="3"/>
      <c r="H2" s="3"/>
      <c r="I2" s="3"/>
      <c r="J2" s="3"/>
    </row>
    <row r="3" spans="1:12" s="239" customFormat="1">
      <c r="A3" s="237"/>
      <c r="B3" s="237"/>
      <c r="C3" s="237"/>
      <c r="D3" s="237"/>
      <c r="E3" s="237"/>
      <c r="F3" s="237"/>
      <c r="G3" s="238"/>
      <c r="H3" s="238"/>
      <c r="I3" s="238"/>
      <c r="J3" s="238"/>
    </row>
    <row r="4" spans="1:12" ht="30.75" customHeight="1">
      <c r="B4" s="146" t="s">
        <v>330</v>
      </c>
      <c r="C4" s="146" t="s">
        <v>355</v>
      </c>
      <c r="D4" s="146" t="s">
        <v>306</v>
      </c>
      <c r="E4" s="146" t="s">
        <v>333</v>
      </c>
      <c r="F4" s="146" t="s">
        <v>334</v>
      </c>
    </row>
    <row r="5" spans="1:12">
      <c r="A5" s="7" t="s">
        <v>352</v>
      </c>
      <c r="B5" s="13">
        <f>'C1'!D19</f>
        <v>1164.0239999999999</v>
      </c>
      <c r="C5" s="13">
        <f>'C1'!E19</f>
        <v>2040</v>
      </c>
      <c r="D5" s="13">
        <f>'C1'!F19</f>
        <v>4080</v>
      </c>
      <c r="E5" s="13">
        <f>'C1'!G19</f>
        <v>4080</v>
      </c>
      <c r="F5" s="13">
        <f>'C1'!H19</f>
        <v>4080</v>
      </c>
    </row>
    <row r="6" spans="1:12" ht="17.25" customHeight="1">
      <c r="A6" s="7" t="s">
        <v>356</v>
      </c>
      <c r="B6" s="8" t="s">
        <v>439</v>
      </c>
      <c r="C6" s="8" t="s">
        <v>439</v>
      </c>
      <c r="D6" s="8" t="s">
        <v>439</v>
      </c>
      <c r="E6" s="8" t="s">
        <v>439</v>
      </c>
      <c r="F6" s="8" t="s">
        <v>439</v>
      </c>
    </row>
    <row r="7" spans="1:12">
      <c r="A7" s="9" t="s">
        <v>380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H7" s="118"/>
      <c r="I7" s="118"/>
      <c r="J7" s="118"/>
      <c r="K7" s="118"/>
      <c r="L7" s="118"/>
    </row>
    <row r="8" spans="1:12">
      <c r="A8" s="9" t="s">
        <v>357</v>
      </c>
      <c r="B8" s="127">
        <f>'C6F'!C7+'C6F'!C11</f>
        <v>1303964.2560000001</v>
      </c>
      <c r="C8" s="127">
        <f>'C6F'!D7+'C6F'!D11</f>
        <v>2436162.2208000002</v>
      </c>
      <c r="D8" s="127">
        <f>'C6F'!E7+'C6F'!E11</f>
        <v>2679778.44288</v>
      </c>
      <c r="E8" s="127">
        <f>'C6F'!F7+'C6F'!F11</f>
        <v>2947756.2871679999</v>
      </c>
      <c r="F8" s="127">
        <f>'C6F'!G7+'C6F'!G11</f>
        <v>3242531.9158847998</v>
      </c>
      <c r="H8" s="118"/>
      <c r="I8" s="118"/>
      <c r="J8" s="118"/>
      <c r="K8" s="118"/>
      <c r="L8" s="118"/>
    </row>
    <row r="9" spans="1:12">
      <c r="A9" s="234" t="s">
        <v>358</v>
      </c>
      <c r="B9" s="127">
        <f>'C9'!D17</f>
        <v>266213.7326804123</v>
      </c>
      <c r="C9" s="127">
        <f>'C9'!E17</f>
        <v>606515.68959785486</v>
      </c>
      <c r="D9" s="127">
        <f>'C9'!F17</f>
        <v>788470.39647721138</v>
      </c>
      <c r="E9" s="127">
        <f>'C9'!G17</f>
        <v>1025011.5154203748</v>
      </c>
      <c r="F9" s="127">
        <f>'C9'!H17</f>
        <v>1332514.9700464876</v>
      </c>
      <c r="H9" s="118"/>
      <c r="I9" s="118"/>
      <c r="J9" s="118"/>
      <c r="K9" s="118"/>
      <c r="L9" s="118"/>
    </row>
    <row r="10" spans="1:12">
      <c r="A10" s="9" t="s">
        <v>359</v>
      </c>
      <c r="B10" s="127">
        <f>'C5'!D42</f>
        <v>2283042.6707283775</v>
      </c>
      <c r="C10" s="127">
        <f>'C5'!D43</f>
        <v>2139169.9877203838</v>
      </c>
      <c r="D10" s="127">
        <f>'C5'!D44</f>
        <v>1702995.1000706363</v>
      </c>
      <c r="E10" s="127">
        <f>'C5'!D45</f>
        <v>1162138.2393849492</v>
      </c>
      <c r="F10" s="127">
        <f>'C5'!D46</f>
        <v>491475.73213469697</v>
      </c>
      <c r="H10" s="118"/>
      <c r="I10" s="118"/>
      <c r="J10" s="118"/>
      <c r="K10" s="118"/>
      <c r="L10" s="118"/>
    </row>
    <row r="11" spans="1:12">
      <c r="A11" s="9" t="s">
        <v>360</v>
      </c>
      <c r="B11" s="127">
        <f>'C4'!D21</f>
        <v>709062.45734358253</v>
      </c>
      <c r="C11" s="127">
        <f>'C4'!E21</f>
        <v>709062.45734358253</v>
      </c>
      <c r="D11" s="127">
        <f>'C4'!F21</f>
        <v>709062.45734358253</v>
      </c>
      <c r="E11" s="127">
        <f>'C4'!G21</f>
        <v>709062.45734358253</v>
      </c>
      <c r="F11" s="127">
        <f>'C4'!H21</f>
        <v>709062.45734358253</v>
      </c>
      <c r="H11" s="118"/>
      <c r="I11" s="118"/>
      <c r="J11" s="118"/>
      <c r="K11" s="118"/>
      <c r="L11" s="118"/>
    </row>
    <row r="12" spans="1:12" s="110" customFormat="1">
      <c r="A12" s="7" t="s">
        <v>361</v>
      </c>
      <c r="B12" s="131">
        <f>SUM(B7:B11)</f>
        <v>4562283.1167523731</v>
      </c>
      <c r="C12" s="131">
        <f>SUM(C7:C11)</f>
        <v>5890910.355461821</v>
      </c>
      <c r="D12" s="131">
        <f>SUM(D7:D11)</f>
        <v>5880306.3967714291</v>
      </c>
      <c r="E12" s="131">
        <f>SUM(E7:E11)</f>
        <v>5843968.4993169066</v>
      </c>
      <c r="F12" s="131">
        <f>SUM(F7:F11)</f>
        <v>5775585.075409567</v>
      </c>
      <c r="G12" s="2"/>
      <c r="H12" s="2"/>
      <c r="I12" s="2"/>
      <c r="J12" s="2"/>
    </row>
    <row r="13" spans="1:12">
      <c r="A13" s="9"/>
      <c r="B13" s="9"/>
      <c r="C13" s="9"/>
      <c r="D13" s="9"/>
      <c r="E13" s="9"/>
      <c r="F13" s="9"/>
      <c r="H13" s="118"/>
      <c r="I13" s="118"/>
      <c r="J13" s="118"/>
      <c r="K13" s="118"/>
      <c r="L13" s="118"/>
    </row>
    <row r="14" spans="1:12" ht="15.75" customHeight="1">
      <c r="A14" s="7" t="s">
        <v>362</v>
      </c>
      <c r="B14" s="8" t="s">
        <v>439</v>
      </c>
      <c r="C14" s="8" t="s">
        <v>439</v>
      </c>
      <c r="D14" s="8" t="s">
        <v>439</v>
      </c>
      <c r="E14" s="8" t="s">
        <v>439</v>
      </c>
      <c r="F14" s="8" t="s">
        <v>439</v>
      </c>
    </row>
    <row r="15" spans="1:12">
      <c r="A15" s="9" t="s">
        <v>380</v>
      </c>
      <c r="B15" s="127">
        <f>'C7'!D21</f>
        <v>2408662.9088420616</v>
      </c>
      <c r="C15" s="127">
        <f>'C7'!E21</f>
        <v>4941123.7726658965</v>
      </c>
      <c r="D15" s="127">
        <f>'C7'!F21</f>
        <v>5934010.8603056651</v>
      </c>
      <c r="E15" s="127">
        <f>'C7'!G21</f>
        <v>7175819.0698213642</v>
      </c>
      <c r="F15" s="127">
        <f>'C7'!H21</f>
        <v>8736330.2373341732</v>
      </c>
    </row>
    <row r="16" spans="1:12">
      <c r="A16" s="9" t="s">
        <v>357</v>
      </c>
      <c r="B16" s="127">
        <f>'C6F'!C8+'C6F'!C12</f>
        <v>10080</v>
      </c>
      <c r="C16" s="127">
        <f>'C6F'!D8+'C6F'!D12</f>
        <v>11088</v>
      </c>
      <c r="D16" s="127">
        <f>'C6F'!E8+'C6F'!E12</f>
        <v>12196.8</v>
      </c>
      <c r="E16" s="127">
        <f>'C6F'!F8+'C6F'!F12</f>
        <v>13416.480000000001</v>
      </c>
      <c r="F16" s="127">
        <f>'C6F'!G8+'C6F'!G12</f>
        <v>14758.128000000001</v>
      </c>
    </row>
    <row r="17" spans="1:12">
      <c r="A17" s="234" t="s">
        <v>358</v>
      </c>
      <c r="B17" s="127">
        <f>'C9'!D16</f>
        <v>828404.92016164947</v>
      </c>
      <c r="C17" s="127">
        <f>'C9'!E16</f>
        <v>1887357.8622680411</v>
      </c>
      <c r="D17" s="127">
        <f>'C9'!F16</f>
        <v>2453565.2209484535</v>
      </c>
      <c r="E17" s="127">
        <f>'C9'!G16</f>
        <v>3189634.7872329894</v>
      </c>
      <c r="F17" s="127">
        <f>'C9'!H16</f>
        <v>4146525.2234028871</v>
      </c>
      <c r="H17" s="118"/>
      <c r="I17" s="118"/>
      <c r="J17" s="118"/>
      <c r="K17" s="118"/>
      <c r="L17" s="118"/>
    </row>
    <row r="18" spans="1:12">
      <c r="A18" s="9" t="s">
        <v>359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</row>
    <row r="19" spans="1:12">
      <c r="A19" s="9" t="s">
        <v>360</v>
      </c>
      <c r="B19" s="127">
        <v>0</v>
      </c>
      <c r="C19" s="127">
        <v>0</v>
      </c>
      <c r="D19" s="127">
        <v>0</v>
      </c>
      <c r="E19" s="127">
        <v>0</v>
      </c>
      <c r="F19" s="127">
        <v>0</v>
      </c>
    </row>
    <row r="20" spans="1:12" s="110" customFormat="1">
      <c r="A20" s="7" t="s">
        <v>363</v>
      </c>
      <c r="B20" s="131">
        <f>SUM(B16:B19)</f>
        <v>838484.92016164947</v>
      </c>
      <c r="C20" s="131">
        <f>SUM(C16:C19)</f>
        <v>1898445.8622680411</v>
      </c>
      <c r="D20" s="131">
        <f>SUM(D16:D19)</f>
        <v>2465762.0209484533</v>
      </c>
      <c r="E20" s="131">
        <f>SUM(E16:E19)</f>
        <v>3203051.2672329894</v>
      </c>
      <c r="F20" s="131">
        <f>SUM(F16:F19)</f>
        <v>4161283.3514028871</v>
      </c>
      <c r="G20" s="2"/>
      <c r="H20" s="2"/>
      <c r="I20" s="2"/>
      <c r="J20" s="2"/>
    </row>
    <row r="21" spans="1:12" s="110" customFormat="1">
      <c r="A21" s="7" t="s">
        <v>364</v>
      </c>
      <c r="B21" s="131">
        <f>B12+B20</f>
        <v>5400768.0369140226</v>
      </c>
      <c r="C21" s="131">
        <f>C12+C20</f>
        <v>7789356.2177298618</v>
      </c>
      <c r="D21" s="131">
        <f>D12+D20</f>
        <v>8346068.417719882</v>
      </c>
      <c r="E21" s="131">
        <f>E12+E20</f>
        <v>9047019.7665498964</v>
      </c>
      <c r="F21" s="131">
        <f>F12+F20</f>
        <v>9936868.4268124551</v>
      </c>
      <c r="G21" s="2"/>
      <c r="H21" s="2"/>
      <c r="I21" s="2"/>
      <c r="J21" s="2"/>
    </row>
    <row r="22" spans="1:12">
      <c r="A22" s="9" t="s">
        <v>341</v>
      </c>
      <c r="B22" s="127">
        <f>'C10'!C12</f>
        <v>312963.74744923261</v>
      </c>
      <c r="C22" s="127">
        <f>'C10'!D12</f>
        <v>1901878.8859718468</v>
      </c>
      <c r="D22" s="127">
        <f>'C10'!E12</f>
        <v>8121460.7379752398</v>
      </c>
      <c r="E22" s="127">
        <f>'C10'!F12</f>
        <v>10080462.079373036</v>
      </c>
      <c r="F22" s="127">
        <f>'C10'!G12</f>
        <v>12414703.294883765</v>
      </c>
    </row>
    <row r="23" spans="1:12">
      <c r="A23" s="9" t="s">
        <v>365</v>
      </c>
      <c r="B23" s="127">
        <f>'C10'!C13</f>
        <v>688400.21563674568</v>
      </c>
      <c r="C23" s="127">
        <f>'C10'!D13</f>
        <v>3772764.8962982902</v>
      </c>
      <c r="D23" s="127">
        <f>'C10'!E13</f>
        <v>15846070.844304875</v>
      </c>
      <c r="E23" s="127">
        <f>'C10'!F13</f>
        <v>19648838.154077068</v>
      </c>
      <c r="F23" s="127">
        <f>'C10'!G13</f>
        <v>24180012.27830378</v>
      </c>
    </row>
    <row r="24" spans="1:12" s="110" customFormat="1">
      <c r="A24" s="7" t="s">
        <v>232</v>
      </c>
      <c r="B24" s="131">
        <f>SUM(B21:B23)</f>
        <v>6402132.0000000009</v>
      </c>
      <c r="C24" s="131">
        <f>SUM(C21:C23)</f>
        <v>13464000</v>
      </c>
      <c r="D24" s="131">
        <f>SUM(D21:D23)</f>
        <v>32313599.999999996</v>
      </c>
      <c r="E24" s="131">
        <f>SUM(E21:E23)</f>
        <v>38776320</v>
      </c>
      <c r="F24" s="131">
        <f>SUM(F21:F23)</f>
        <v>46531584</v>
      </c>
      <c r="G24" s="2"/>
      <c r="H24" s="2"/>
      <c r="I24" s="2"/>
      <c r="J24" s="2"/>
    </row>
    <row r="25" spans="1:12">
      <c r="A25" s="9"/>
      <c r="B25" s="9"/>
      <c r="C25" s="9"/>
      <c r="D25" s="9"/>
      <c r="E25" s="9"/>
      <c r="F25" s="9"/>
    </row>
    <row r="26" spans="1:12" s="110" customFormat="1">
      <c r="A26" s="7" t="s">
        <v>366</v>
      </c>
      <c r="B26" s="8">
        <f>B12/(B43-B20)</f>
        <v>0.82001662781330287</v>
      </c>
      <c r="C26" s="8">
        <f>C12/(C43-C20)</f>
        <v>0.50934959841163707</v>
      </c>
      <c r="D26" s="8">
        <f>D12/(D43-D20)</f>
        <v>0.19700945847060924</v>
      </c>
      <c r="E26" s="8">
        <f>E12/(E43-E20)</f>
        <v>0.16427977263539884</v>
      </c>
      <c r="F26" s="8">
        <f>F12/(F43-F20)</f>
        <v>0.13631210982688172</v>
      </c>
      <c r="G26" s="2"/>
      <c r="H26" s="2"/>
      <c r="I26" s="2"/>
      <c r="J26" s="2"/>
    </row>
    <row r="27" spans="1:12">
      <c r="A27" s="9" t="s">
        <v>367</v>
      </c>
      <c r="B27" s="12"/>
      <c r="C27" s="12"/>
      <c r="D27" s="12"/>
      <c r="E27" s="12"/>
      <c r="F27" s="12"/>
    </row>
    <row r="28" spans="1:12" s="110" customFormat="1">
      <c r="A28" s="7" t="s">
        <v>368</v>
      </c>
      <c r="B28" s="130">
        <f>B26</f>
        <v>0.82001662781330287</v>
      </c>
      <c r="C28" s="130">
        <f>C26</f>
        <v>0.50934959841163707</v>
      </c>
      <c r="D28" s="130">
        <f>D26</f>
        <v>0.19700945847060924</v>
      </c>
      <c r="E28" s="130">
        <f>E26</f>
        <v>0.16427977263539884</v>
      </c>
      <c r="F28" s="130">
        <f>F26</f>
        <v>0.13631210982688172</v>
      </c>
      <c r="G28" s="2"/>
      <c r="H28" s="2"/>
      <c r="I28" s="2"/>
      <c r="J28" s="2"/>
    </row>
    <row r="29" spans="1:12">
      <c r="A29" s="9" t="s">
        <v>369</v>
      </c>
      <c r="B29" s="11">
        <f>B26*'C1'!D19</f>
        <v>954.51903517375194</v>
      </c>
      <c r="C29" s="11">
        <f>C26*'C1'!E19</f>
        <v>1039.0731807597397</v>
      </c>
      <c r="D29" s="11">
        <f>D26*'C1'!F19</f>
        <v>803.7985905600857</v>
      </c>
      <c r="E29" s="11">
        <f>E26*'C1'!G19</f>
        <v>670.26147235242729</v>
      </c>
      <c r="F29" s="11">
        <f>F26*'C1'!H19</f>
        <v>556.1534080936774</v>
      </c>
    </row>
    <row r="30" spans="1:12">
      <c r="A30" s="9" t="s">
        <v>370</v>
      </c>
      <c r="B30" s="11">
        <f>B26*B43</f>
        <v>5249854.6934556356</v>
      </c>
      <c r="C30" s="11">
        <f>C26*C43</f>
        <v>6857882.9930142816</v>
      </c>
      <c r="D30" s="11">
        <f>D26*D43</f>
        <v>6366084.8372358792</v>
      </c>
      <c r="E30" s="11">
        <f>E26*E43</f>
        <v>6370165.0332374685</v>
      </c>
      <c r="F30" s="11">
        <f>F26*F43</f>
        <v>6342818.388626772</v>
      </c>
      <c r="G30" s="5"/>
    </row>
    <row r="31" spans="1:12">
      <c r="A31" s="9" t="s">
        <v>371</v>
      </c>
      <c r="B31" s="11">
        <f>B26*$B44</f>
        <v>9.840199533759634</v>
      </c>
      <c r="C31" s="11">
        <f>C26*$B44</f>
        <v>6.1121951809396453</v>
      </c>
      <c r="D31" s="11">
        <f>D26*$B44</f>
        <v>2.3641135016473109</v>
      </c>
      <c r="E31" s="11">
        <f>E26*$B44</f>
        <v>1.971357271624786</v>
      </c>
      <c r="F31" s="11">
        <f>F26*$B44</f>
        <v>1.6357453179225807</v>
      </c>
      <c r="G31" s="5"/>
    </row>
    <row r="32" spans="1:12">
      <c r="A32" s="9" t="s">
        <v>372</v>
      </c>
      <c r="B32" s="11">
        <f>B26*$B45</f>
        <v>216.48438974271195</v>
      </c>
      <c r="C32" s="11">
        <f>C26*$B45</f>
        <v>134.4682939806722</v>
      </c>
      <c r="D32" s="11">
        <f>D26*$B45</f>
        <v>52.010497036240842</v>
      </c>
      <c r="E32" s="11">
        <f>E26*$B45</f>
        <v>43.369859975745293</v>
      </c>
      <c r="F32" s="11">
        <f>F26*$B45</f>
        <v>35.986396994296776</v>
      </c>
      <c r="G32" s="5"/>
    </row>
    <row r="34" spans="1:10">
      <c r="A34" s="2" t="s">
        <v>373</v>
      </c>
    </row>
    <row r="35" spans="1:10">
      <c r="A35" s="3" t="s">
        <v>367</v>
      </c>
    </row>
    <row r="36" spans="1:10" s="110" customFormat="1">
      <c r="A36" s="2" t="s">
        <v>368</v>
      </c>
      <c r="B36" s="236">
        <f>AVERAGE(B28:F28)</f>
        <v>0.36539351343156595</v>
      </c>
      <c r="C36" s="3" t="s">
        <v>374</v>
      </c>
      <c r="D36" s="2"/>
      <c r="E36" s="2"/>
      <c r="F36" s="2"/>
      <c r="G36" s="2"/>
      <c r="H36" s="2"/>
      <c r="I36" s="2"/>
      <c r="J36" s="2"/>
    </row>
    <row r="37" spans="1:10">
      <c r="A37" s="3" t="s">
        <v>454</v>
      </c>
      <c r="B37" s="5">
        <f>AVERAGE(B29:F29)</f>
        <v>804.76113738793629</v>
      </c>
      <c r="C37" s="3" t="s">
        <v>455</v>
      </c>
    </row>
    <row r="38" spans="1:10">
      <c r="A38" s="3" t="s">
        <v>370</v>
      </c>
      <c r="B38" s="5">
        <f>AVERAGE(B30:F30)</f>
        <v>6237361.1891140072</v>
      </c>
      <c r="C38" s="3" t="s">
        <v>383</v>
      </c>
    </row>
    <row r="39" spans="1:10">
      <c r="A39" s="3" t="s">
        <v>371</v>
      </c>
      <c r="B39" s="5">
        <f>AVERAGE(B31:F31)</f>
        <v>4.3847221611787912</v>
      </c>
      <c r="C39" s="3" t="s">
        <v>384</v>
      </c>
    </row>
    <row r="40" spans="1:10">
      <c r="A40" s="3" t="s">
        <v>372</v>
      </c>
      <c r="B40" s="5">
        <f>AVERAGE(B32:F32)</f>
        <v>96.463887545933417</v>
      </c>
      <c r="C40" s="3" t="s">
        <v>385</v>
      </c>
    </row>
    <row r="42" spans="1:10">
      <c r="A42" s="2" t="s">
        <v>95</v>
      </c>
      <c r="B42" s="118"/>
      <c r="C42" s="118"/>
      <c r="D42" s="118"/>
      <c r="E42" s="118"/>
      <c r="F42" s="118"/>
    </row>
    <row r="43" spans="1:10">
      <c r="A43" s="3" t="s">
        <v>375</v>
      </c>
      <c r="B43" s="118">
        <f>'C8'!D21</f>
        <v>6402131.9999999991</v>
      </c>
      <c r="C43" s="118">
        <f>'C8'!E21</f>
        <v>13464000</v>
      </c>
      <c r="D43" s="118">
        <f>'C8'!F21</f>
        <v>32313600</v>
      </c>
      <c r="E43" s="118">
        <f>'C8'!G21</f>
        <v>38776320</v>
      </c>
      <c r="F43" s="118">
        <f>'C8'!H21</f>
        <v>46531584</v>
      </c>
    </row>
    <row r="44" spans="1:10">
      <c r="A44" s="3" t="s">
        <v>240</v>
      </c>
      <c r="B44" s="3">
        <v>12</v>
      </c>
      <c r="C44" s="3" t="s">
        <v>24</v>
      </c>
    </row>
    <row r="45" spans="1:10">
      <c r="A45" s="3" t="s">
        <v>376</v>
      </c>
      <c r="B45" s="3">
        <v>264</v>
      </c>
      <c r="C45" s="3" t="s">
        <v>26</v>
      </c>
    </row>
    <row r="46" spans="1:10">
      <c r="A46" s="3" t="s">
        <v>473</v>
      </c>
    </row>
  </sheetData>
  <mergeCells count="1">
    <mergeCell ref="A2:F2"/>
  </mergeCells>
  <printOptions horizontalCentered="1" verticalCentered="1"/>
  <pageMargins left="0.78740157480314965" right="0.78740157480314965" top="0.78740157480314965" bottom="0.78740157480314965" header="0" footer="0"/>
  <pageSetup scale="81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5"/>
  <sheetViews>
    <sheetView topLeftCell="A6" workbookViewId="0">
      <selection activeCell="B26" sqref="B26"/>
    </sheetView>
  </sheetViews>
  <sheetFormatPr baseColWidth="10" defaultRowHeight="15.75"/>
  <cols>
    <col min="1" max="1" width="35.85546875" style="249" bestFit="1" customWidth="1"/>
    <col min="2" max="2" width="14.140625" style="249" customWidth="1"/>
    <col min="3" max="3" width="14.140625" style="249" bestFit="1" customWidth="1"/>
    <col min="4" max="4" width="14.85546875" style="249" bestFit="1" customWidth="1"/>
    <col min="5" max="5" width="15" style="249" customWidth="1"/>
    <col min="6" max="6" width="15.42578125" style="249" customWidth="1"/>
    <col min="7" max="9" width="11.42578125" style="249"/>
    <col min="10" max="256" width="11.42578125" style="246"/>
    <col min="257" max="257" width="31" style="246" customWidth="1"/>
    <col min="258" max="258" width="11.5703125" style="246" customWidth="1"/>
    <col min="259" max="262" width="12.7109375" style="246" bestFit="1" customWidth="1"/>
    <col min="263" max="512" width="11.42578125" style="246"/>
    <col min="513" max="513" width="31" style="246" customWidth="1"/>
    <col min="514" max="514" width="11.5703125" style="246" customWidth="1"/>
    <col min="515" max="518" width="12.7109375" style="246" bestFit="1" customWidth="1"/>
    <col min="519" max="768" width="11.42578125" style="246"/>
    <col min="769" max="769" width="31" style="246" customWidth="1"/>
    <col min="770" max="770" width="11.5703125" style="246" customWidth="1"/>
    <col min="771" max="774" width="12.7109375" style="246" bestFit="1" customWidth="1"/>
    <col min="775" max="1024" width="11.42578125" style="246"/>
    <col min="1025" max="1025" width="31" style="246" customWidth="1"/>
    <col min="1026" max="1026" width="11.5703125" style="246" customWidth="1"/>
    <col min="1027" max="1030" width="12.7109375" style="246" bestFit="1" customWidth="1"/>
    <col min="1031" max="1280" width="11.42578125" style="246"/>
    <col min="1281" max="1281" width="31" style="246" customWidth="1"/>
    <col min="1282" max="1282" width="11.5703125" style="246" customWidth="1"/>
    <col min="1283" max="1286" width="12.7109375" style="246" bestFit="1" customWidth="1"/>
    <col min="1287" max="1536" width="11.42578125" style="246"/>
    <col min="1537" max="1537" width="31" style="246" customWidth="1"/>
    <col min="1538" max="1538" width="11.5703125" style="246" customWidth="1"/>
    <col min="1539" max="1542" width="12.7109375" style="246" bestFit="1" customWidth="1"/>
    <col min="1543" max="1792" width="11.42578125" style="246"/>
    <col min="1793" max="1793" width="31" style="246" customWidth="1"/>
    <col min="1794" max="1794" width="11.5703125" style="246" customWidth="1"/>
    <col min="1795" max="1798" width="12.7109375" style="246" bestFit="1" customWidth="1"/>
    <col min="1799" max="2048" width="11.42578125" style="246"/>
    <col min="2049" max="2049" width="31" style="246" customWidth="1"/>
    <col min="2050" max="2050" width="11.5703125" style="246" customWidth="1"/>
    <col min="2051" max="2054" width="12.7109375" style="246" bestFit="1" customWidth="1"/>
    <col min="2055" max="2304" width="11.42578125" style="246"/>
    <col min="2305" max="2305" width="31" style="246" customWidth="1"/>
    <col min="2306" max="2306" width="11.5703125" style="246" customWidth="1"/>
    <col min="2307" max="2310" width="12.7109375" style="246" bestFit="1" customWidth="1"/>
    <col min="2311" max="2560" width="11.42578125" style="246"/>
    <col min="2561" max="2561" width="31" style="246" customWidth="1"/>
    <col min="2562" max="2562" width="11.5703125" style="246" customWidth="1"/>
    <col min="2563" max="2566" width="12.7109375" style="246" bestFit="1" customWidth="1"/>
    <col min="2567" max="2816" width="11.42578125" style="246"/>
    <col min="2817" max="2817" width="31" style="246" customWidth="1"/>
    <col min="2818" max="2818" width="11.5703125" style="246" customWidth="1"/>
    <col min="2819" max="2822" width="12.7109375" style="246" bestFit="1" customWidth="1"/>
    <col min="2823" max="3072" width="11.42578125" style="246"/>
    <col min="3073" max="3073" width="31" style="246" customWidth="1"/>
    <col min="3074" max="3074" width="11.5703125" style="246" customWidth="1"/>
    <col min="3075" max="3078" width="12.7109375" style="246" bestFit="1" customWidth="1"/>
    <col min="3079" max="3328" width="11.42578125" style="246"/>
    <col min="3329" max="3329" width="31" style="246" customWidth="1"/>
    <col min="3330" max="3330" width="11.5703125" style="246" customWidth="1"/>
    <col min="3331" max="3334" width="12.7109375" style="246" bestFit="1" customWidth="1"/>
    <col min="3335" max="3584" width="11.42578125" style="246"/>
    <col min="3585" max="3585" width="31" style="246" customWidth="1"/>
    <col min="3586" max="3586" width="11.5703125" style="246" customWidth="1"/>
    <col min="3587" max="3590" width="12.7109375" style="246" bestFit="1" customWidth="1"/>
    <col min="3591" max="3840" width="11.42578125" style="246"/>
    <col min="3841" max="3841" width="31" style="246" customWidth="1"/>
    <col min="3842" max="3842" width="11.5703125" style="246" customWidth="1"/>
    <col min="3843" max="3846" width="12.7109375" style="246" bestFit="1" customWidth="1"/>
    <col min="3847" max="4096" width="11.42578125" style="246"/>
    <col min="4097" max="4097" width="31" style="246" customWidth="1"/>
    <col min="4098" max="4098" width="11.5703125" style="246" customWidth="1"/>
    <col min="4099" max="4102" width="12.7109375" style="246" bestFit="1" customWidth="1"/>
    <col min="4103" max="4352" width="11.42578125" style="246"/>
    <col min="4353" max="4353" width="31" style="246" customWidth="1"/>
    <col min="4354" max="4354" width="11.5703125" style="246" customWidth="1"/>
    <col min="4355" max="4358" width="12.7109375" style="246" bestFit="1" customWidth="1"/>
    <col min="4359" max="4608" width="11.42578125" style="246"/>
    <col min="4609" max="4609" width="31" style="246" customWidth="1"/>
    <col min="4610" max="4610" width="11.5703125" style="246" customWidth="1"/>
    <col min="4611" max="4614" width="12.7109375" style="246" bestFit="1" customWidth="1"/>
    <col min="4615" max="4864" width="11.42578125" style="246"/>
    <col min="4865" max="4865" width="31" style="246" customWidth="1"/>
    <col min="4866" max="4866" width="11.5703125" style="246" customWidth="1"/>
    <col min="4867" max="4870" width="12.7109375" style="246" bestFit="1" customWidth="1"/>
    <col min="4871" max="5120" width="11.42578125" style="246"/>
    <col min="5121" max="5121" width="31" style="246" customWidth="1"/>
    <col min="5122" max="5122" width="11.5703125" style="246" customWidth="1"/>
    <col min="5123" max="5126" width="12.7109375" style="246" bestFit="1" customWidth="1"/>
    <col min="5127" max="5376" width="11.42578125" style="246"/>
    <col min="5377" max="5377" width="31" style="246" customWidth="1"/>
    <col min="5378" max="5378" width="11.5703125" style="246" customWidth="1"/>
    <col min="5379" max="5382" width="12.7109375" style="246" bestFit="1" customWidth="1"/>
    <col min="5383" max="5632" width="11.42578125" style="246"/>
    <col min="5633" max="5633" width="31" style="246" customWidth="1"/>
    <col min="5634" max="5634" width="11.5703125" style="246" customWidth="1"/>
    <col min="5635" max="5638" width="12.7109375" style="246" bestFit="1" customWidth="1"/>
    <col min="5639" max="5888" width="11.42578125" style="246"/>
    <col min="5889" max="5889" width="31" style="246" customWidth="1"/>
    <col min="5890" max="5890" width="11.5703125" style="246" customWidth="1"/>
    <col min="5891" max="5894" width="12.7109375" style="246" bestFit="1" customWidth="1"/>
    <col min="5895" max="6144" width="11.42578125" style="246"/>
    <col min="6145" max="6145" width="31" style="246" customWidth="1"/>
    <col min="6146" max="6146" width="11.5703125" style="246" customWidth="1"/>
    <col min="6147" max="6150" width="12.7109375" style="246" bestFit="1" customWidth="1"/>
    <col min="6151" max="6400" width="11.42578125" style="246"/>
    <col min="6401" max="6401" width="31" style="246" customWidth="1"/>
    <col min="6402" max="6402" width="11.5703125" style="246" customWidth="1"/>
    <col min="6403" max="6406" width="12.7109375" style="246" bestFit="1" customWidth="1"/>
    <col min="6407" max="6656" width="11.42578125" style="246"/>
    <col min="6657" max="6657" width="31" style="246" customWidth="1"/>
    <col min="6658" max="6658" width="11.5703125" style="246" customWidth="1"/>
    <col min="6659" max="6662" width="12.7109375" style="246" bestFit="1" customWidth="1"/>
    <col min="6663" max="6912" width="11.42578125" style="246"/>
    <col min="6913" max="6913" width="31" style="246" customWidth="1"/>
    <col min="6914" max="6914" width="11.5703125" style="246" customWidth="1"/>
    <col min="6915" max="6918" width="12.7109375" style="246" bestFit="1" customWidth="1"/>
    <col min="6919" max="7168" width="11.42578125" style="246"/>
    <col min="7169" max="7169" width="31" style="246" customWidth="1"/>
    <col min="7170" max="7170" width="11.5703125" style="246" customWidth="1"/>
    <col min="7171" max="7174" width="12.7109375" style="246" bestFit="1" customWidth="1"/>
    <col min="7175" max="7424" width="11.42578125" style="246"/>
    <col min="7425" max="7425" width="31" style="246" customWidth="1"/>
    <col min="7426" max="7426" width="11.5703125" style="246" customWidth="1"/>
    <col min="7427" max="7430" width="12.7109375" style="246" bestFit="1" customWidth="1"/>
    <col min="7431" max="7680" width="11.42578125" style="246"/>
    <col min="7681" max="7681" width="31" style="246" customWidth="1"/>
    <col min="7682" max="7682" width="11.5703125" style="246" customWidth="1"/>
    <col min="7683" max="7686" width="12.7109375" style="246" bestFit="1" customWidth="1"/>
    <col min="7687" max="7936" width="11.42578125" style="246"/>
    <col min="7937" max="7937" width="31" style="246" customWidth="1"/>
    <col min="7938" max="7938" width="11.5703125" style="246" customWidth="1"/>
    <col min="7939" max="7942" width="12.7109375" style="246" bestFit="1" customWidth="1"/>
    <col min="7943" max="8192" width="11.42578125" style="246"/>
    <col min="8193" max="8193" width="31" style="246" customWidth="1"/>
    <col min="8194" max="8194" width="11.5703125" style="246" customWidth="1"/>
    <col min="8195" max="8198" width="12.7109375" style="246" bestFit="1" customWidth="1"/>
    <col min="8199" max="8448" width="11.42578125" style="246"/>
    <col min="8449" max="8449" width="31" style="246" customWidth="1"/>
    <col min="8450" max="8450" width="11.5703125" style="246" customWidth="1"/>
    <col min="8451" max="8454" width="12.7109375" style="246" bestFit="1" customWidth="1"/>
    <col min="8455" max="8704" width="11.42578125" style="246"/>
    <col min="8705" max="8705" width="31" style="246" customWidth="1"/>
    <col min="8706" max="8706" width="11.5703125" style="246" customWidth="1"/>
    <col min="8707" max="8710" width="12.7109375" style="246" bestFit="1" customWidth="1"/>
    <col min="8711" max="8960" width="11.42578125" style="246"/>
    <col min="8961" max="8961" width="31" style="246" customWidth="1"/>
    <col min="8962" max="8962" width="11.5703125" style="246" customWidth="1"/>
    <col min="8963" max="8966" width="12.7109375" style="246" bestFit="1" customWidth="1"/>
    <col min="8967" max="9216" width="11.42578125" style="246"/>
    <col min="9217" max="9217" width="31" style="246" customWidth="1"/>
    <col min="9218" max="9218" width="11.5703125" style="246" customWidth="1"/>
    <col min="9219" max="9222" width="12.7109375" style="246" bestFit="1" customWidth="1"/>
    <col min="9223" max="9472" width="11.42578125" style="246"/>
    <col min="9473" max="9473" width="31" style="246" customWidth="1"/>
    <col min="9474" max="9474" width="11.5703125" style="246" customWidth="1"/>
    <col min="9475" max="9478" width="12.7109375" style="246" bestFit="1" customWidth="1"/>
    <col min="9479" max="9728" width="11.42578125" style="246"/>
    <col min="9729" max="9729" width="31" style="246" customWidth="1"/>
    <col min="9730" max="9730" width="11.5703125" style="246" customWidth="1"/>
    <col min="9731" max="9734" width="12.7109375" style="246" bestFit="1" customWidth="1"/>
    <col min="9735" max="9984" width="11.42578125" style="246"/>
    <col min="9985" max="9985" width="31" style="246" customWidth="1"/>
    <col min="9986" max="9986" width="11.5703125" style="246" customWidth="1"/>
    <col min="9987" max="9990" width="12.7109375" style="246" bestFit="1" customWidth="1"/>
    <col min="9991" max="10240" width="11.42578125" style="246"/>
    <col min="10241" max="10241" width="31" style="246" customWidth="1"/>
    <col min="10242" max="10242" width="11.5703125" style="246" customWidth="1"/>
    <col min="10243" max="10246" width="12.7109375" style="246" bestFit="1" customWidth="1"/>
    <col min="10247" max="10496" width="11.42578125" style="246"/>
    <col min="10497" max="10497" width="31" style="246" customWidth="1"/>
    <col min="10498" max="10498" width="11.5703125" style="246" customWidth="1"/>
    <col min="10499" max="10502" width="12.7109375" style="246" bestFit="1" customWidth="1"/>
    <col min="10503" max="10752" width="11.42578125" style="246"/>
    <col min="10753" max="10753" width="31" style="246" customWidth="1"/>
    <col min="10754" max="10754" width="11.5703125" style="246" customWidth="1"/>
    <col min="10755" max="10758" width="12.7109375" style="246" bestFit="1" customWidth="1"/>
    <col min="10759" max="11008" width="11.42578125" style="246"/>
    <col min="11009" max="11009" width="31" style="246" customWidth="1"/>
    <col min="11010" max="11010" width="11.5703125" style="246" customWidth="1"/>
    <col min="11011" max="11014" width="12.7109375" style="246" bestFit="1" customWidth="1"/>
    <col min="11015" max="11264" width="11.42578125" style="246"/>
    <col min="11265" max="11265" width="31" style="246" customWidth="1"/>
    <col min="11266" max="11266" width="11.5703125" style="246" customWidth="1"/>
    <col min="11267" max="11270" width="12.7109375" style="246" bestFit="1" customWidth="1"/>
    <col min="11271" max="11520" width="11.42578125" style="246"/>
    <col min="11521" max="11521" width="31" style="246" customWidth="1"/>
    <col min="11522" max="11522" width="11.5703125" style="246" customWidth="1"/>
    <col min="11523" max="11526" width="12.7109375" style="246" bestFit="1" customWidth="1"/>
    <col min="11527" max="11776" width="11.42578125" style="246"/>
    <col min="11777" max="11777" width="31" style="246" customWidth="1"/>
    <col min="11778" max="11778" width="11.5703125" style="246" customWidth="1"/>
    <col min="11779" max="11782" width="12.7109375" style="246" bestFit="1" customWidth="1"/>
    <col min="11783" max="12032" width="11.42578125" style="246"/>
    <col min="12033" max="12033" width="31" style="246" customWidth="1"/>
    <col min="12034" max="12034" width="11.5703125" style="246" customWidth="1"/>
    <col min="12035" max="12038" width="12.7109375" style="246" bestFit="1" customWidth="1"/>
    <col min="12039" max="12288" width="11.42578125" style="246"/>
    <col min="12289" max="12289" width="31" style="246" customWidth="1"/>
    <col min="12290" max="12290" width="11.5703125" style="246" customWidth="1"/>
    <col min="12291" max="12294" width="12.7109375" style="246" bestFit="1" customWidth="1"/>
    <col min="12295" max="12544" width="11.42578125" style="246"/>
    <col min="12545" max="12545" width="31" style="246" customWidth="1"/>
    <col min="12546" max="12546" width="11.5703125" style="246" customWidth="1"/>
    <col min="12547" max="12550" width="12.7109375" style="246" bestFit="1" customWidth="1"/>
    <col min="12551" max="12800" width="11.42578125" style="246"/>
    <col min="12801" max="12801" width="31" style="246" customWidth="1"/>
    <col min="12802" max="12802" width="11.5703125" style="246" customWidth="1"/>
    <col min="12803" max="12806" width="12.7109375" style="246" bestFit="1" customWidth="1"/>
    <col min="12807" max="13056" width="11.42578125" style="246"/>
    <col min="13057" max="13057" width="31" style="246" customWidth="1"/>
    <col min="13058" max="13058" width="11.5703125" style="246" customWidth="1"/>
    <col min="13059" max="13062" width="12.7109375" style="246" bestFit="1" customWidth="1"/>
    <col min="13063" max="13312" width="11.42578125" style="246"/>
    <col min="13313" max="13313" width="31" style="246" customWidth="1"/>
    <col min="13314" max="13314" width="11.5703125" style="246" customWidth="1"/>
    <col min="13315" max="13318" width="12.7109375" style="246" bestFit="1" customWidth="1"/>
    <col min="13319" max="13568" width="11.42578125" style="246"/>
    <col min="13569" max="13569" width="31" style="246" customWidth="1"/>
    <col min="13570" max="13570" width="11.5703125" style="246" customWidth="1"/>
    <col min="13571" max="13574" width="12.7109375" style="246" bestFit="1" customWidth="1"/>
    <col min="13575" max="13824" width="11.42578125" style="246"/>
    <col min="13825" max="13825" width="31" style="246" customWidth="1"/>
    <col min="13826" max="13826" width="11.5703125" style="246" customWidth="1"/>
    <col min="13827" max="13830" width="12.7109375" style="246" bestFit="1" customWidth="1"/>
    <col min="13831" max="14080" width="11.42578125" style="246"/>
    <col min="14081" max="14081" width="31" style="246" customWidth="1"/>
    <col min="14082" max="14082" width="11.5703125" style="246" customWidth="1"/>
    <col min="14083" max="14086" width="12.7109375" style="246" bestFit="1" customWidth="1"/>
    <col min="14087" max="14336" width="11.42578125" style="246"/>
    <col min="14337" max="14337" width="31" style="246" customWidth="1"/>
    <col min="14338" max="14338" width="11.5703125" style="246" customWidth="1"/>
    <col min="14339" max="14342" width="12.7109375" style="246" bestFit="1" customWidth="1"/>
    <col min="14343" max="14592" width="11.42578125" style="246"/>
    <col min="14593" max="14593" width="31" style="246" customWidth="1"/>
    <col min="14594" max="14594" width="11.5703125" style="246" customWidth="1"/>
    <col min="14595" max="14598" width="12.7109375" style="246" bestFit="1" customWidth="1"/>
    <col min="14599" max="14848" width="11.42578125" style="246"/>
    <col min="14849" max="14849" width="31" style="246" customWidth="1"/>
    <col min="14850" max="14850" width="11.5703125" style="246" customWidth="1"/>
    <col min="14851" max="14854" width="12.7109375" style="246" bestFit="1" customWidth="1"/>
    <col min="14855" max="15104" width="11.42578125" style="246"/>
    <col min="15105" max="15105" width="31" style="246" customWidth="1"/>
    <col min="15106" max="15106" width="11.5703125" style="246" customWidth="1"/>
    <col min="15107" max="15110" width="12.7109375" style="246" bestFit="1" customWidth="1"/>
    <col min="15111" max="15360" width="11.42578125" style="246"/>
    <col min="15361" max="15361" width="31" style="246" customWidth="1"/>
    <col min="15362" max="15362" width="11.5703125" style="246" customWidth="1"/>
    <col min="15363" max="15366" width="12.7109375" style="246" bestFit="1" customWidth="1"/>
    <col min="15367" max="15616" width="11.42578125" style="246"/>
    <col min="15617" max="15617" width="31" style="246" customWidth="1"/>
    <col min="15618" max="15618" width="11.5703125" style="246" customWidth="1"/>
    <col min="15619" max="15622" width="12.7109375" style="246" bestFit="1" customWidth="1"/>
    <col min="15623" max="15872" width="11.42578125" style="246"/>
    <col min="15873" max="15873" width="31" style="246" customWidth="1"/>
    <col min="15874" max="15874" width="11.5703125" style="246" customWidth="1"/>
    <col min="15875" max="15878" width="12.7109375" style="246" bestFit="1" customWidth="1"/>
    <col min="15879" max="16128" width="11.42578125" style="246"/>
    <col min="16129" max="16129" width="31" style="246" customWidth="1"/>
    <col min="16130" max="16130" width="11.5703125" style="246" customWidth="1"/>
    <col min="16131" max="16134" width="12.7109375" style="246" bestFit="1" customWidth="1"/>
    <col min="16135" max="16384" width="11.42578125" style="246"/>
  </cols>
  <sheetData>
    <row r="2" spans="1:9" s="245" customFormat="1">
      <c r="A2" s="307" t="s">
        <v>400</v>
      </c>
      <c r="B2" s="307"/>
      <c r="C2" s="307"/>
      <c r="D2" s="307"/>
      <c r="E2" s="307"/>
      <c r="F2" s="307"/>
      <c r="G2" s="248"/>
      <c r="H2" s="248"/>
      <c r="I2" s="248"/>
    </row>
    <row r="3" spans="1:9" ht="15" customHeight="1"/>
    <row r="4" spans="1:9" ht="30.75" customHeight="1">
      <c r="B4" s="253" t="s">
        <v>330</v>
      </c>
      <c r="C4" s="253" t="s">
        <v>401</v>
      </c>
      <c r="D4" s="253" t="s">
        <v>402</v>
      </c>
      <c r="E4" s="253" t="s">
        <v>307</v>
      </c>
      <c r="F4" s="253" t="s">
        <v>6</v>
      </c>
    </row>
    <row r="5" spans="1:9" ht="18" customHeight="1">
      <c r="A5" s="7" t="s">
        <v>352</v>
      </c>
      <c r="B5" s="13">
        <f>'C1'!D19</f>
        <v>1164.0239999999999</v>
      </c>
      <c r="C5" s="13">
        <f>'C1'!E19</f>
        <v>2040</v>
      </c>
      <c r="D5" s="13">
        <f>'C1'!F19</f>
        <v>4080</v>
      </c>
      <c r="E5" s="13">
        <f>'C1'!G19</f>
        <v>4080</v>
      </c>
      <c r="F5" s="13">
        <f>'C1'!H19</f>
        <v>4080</v>
      </c>
    </row>
    <row r="6" spans="1:9" ht="18" customHeight="1">
      <c r="A6" s="250" t="s">
        <v>403</v>
      </c>
      <c r="B6" s="8" t="s">
        <v>439</v>
      </c>
      <c r="C6" s="8" t="s">
        <v>439</v>
      </c>
      <c r="D6" s="8" t="s">
        <v>439</v>
      </c>
      <c r="E6" s="8" t="s">
        <v>439</v>
      </c>
      <c r="F6" s="8" t="s">
        <v>439</v>
      </c>
    </row>
    <row r="7" spans="1:9" ht="18" customHeight="1">
      <c r="A7" s="251" t="s">
        <v>404</v>
      </c>
      <c r="B7" s="256">
        <f>'C3'!C26</f>
        <v>6185287.4256512458</v>
      </c>
      <c r="C7" s="256">
        <f>'C3'!F26</f>
        <v>0</v>
      </c>
      <c r="D7" s="256">
        <f>'C3'!I26</f>
        <v>0</v>
      </c>
      <c r="E7" s="256">
        <f>'C3'!L26</f>
        <v>0</v>
      </c>
      <c r="F7" s="256">
        <f>'C3'!O26</f>
        <v>0</v>
      </c>
    </row>
    <row r="8" spans="1:9" ht="18" customHeight="1">
      <c r="A8" s="251" t="s">
        <v>405</v>
      </c>
      <c r="B8" s="256">
        <f>'C3'!D26</f>
        <v>10330482.352399999</v>
      </c>
      <c r="C8" s="256">
        <f>'C3'!G26</f>
        <v>0</v>
      </c>
      <c r="D8" s="256">
        <f>'C3'!J26</f>
        <v>0</v>
      </c>
      <c r="E8" s="256">
        <f>'C3'!M26</f>
        <v>0</v>
      </c>
      <c r="F8" s="256">
        <f>'C3'!P26</f>
        <v>0</v>
      </c>
    </row>
    <row r="9" spans="1:9" ht="18" customHeight="1">
      <c r="A9" s="251" t="s">
        <v>406</v>
      </c>
      <c r="B9" s="256"/>
      <c r="C9" s="256"/>
      <c r="D9" s="256"/>
      <c r="E9" s="256"/>
      <c r="F9" s="256"/>
    </row>
    <row r="10" spans="1:9" ht="18" customHeight="1">
      <c r="A10" s="251" t="s">
        <v>351</v>
      </c>
      <c r="B10" s="256">
        <f>'C8'!D21</f>
        <v>6402131.9999999991</v>
      </c>
      <c r="C10" s="256">
        <f>'C8'!E21</f>
        <v>13464000</v>
      </c>
      <c r="D10" s="256">
        <f>'C8'!F21</f>
        <v>32313600</v>
      </c>
      <c r="E10" s="256">
        <f>'C8'!G21</f>
        <v>38776320</v>
      </c>
      <c r="F10" s="256">
        <f>'C8'!H21</f>
        <v>46531584</v>
      </c>
    </row>
    <row r="11" spans="1:9" ht="18" customHeight="1">
      <c r="A11" s="251" t="s">
        <v>360</v>
      </c>
      <c r="B11" s="256">
        <f>'C4'!D21</f>
        <v>709062.45734358253</v>
      </c>
      <c r="C11" s="256">
        <f>'C4'!E21</f>
        <v>709062.45734358253</v>
      </c>
      <c r="D11" s="256">
        <f>'C4'!F21</f>
        <v>709062.45734358253</v>
      </c>
      <c r="E11" s="256">
        <f>'C4'!G21</f>
        <v>709062.45734358253</v>
      </c>
      <c r="F11" s="256">
        <f>'C4'!H21</f>
        <v>709062.45734358253</v>
      </c>
    </row>
    <row r="12" spans="1:9" s="247" customFormat="1" ht="18" customHeight="1">
      <c r="A12" s="250" t="s">
        <v>407</v>
      </c>
      <c r="B12" s="257">
        <f>SUM(B7:B11)</f>
        <v>23626964.235394828</v>
      </c>
      <c r="C12" s="257">
        <f>SUM(C7:C11)</f>
        <v>14173062.457343582</v>
      </c>
      <c r="D12" s="257">
        <f>SUM(D7:D11)</f>
        <v>33022662.457343582</v>
      </c>
      <c r="E12" s="257">
        <f>SUM(E7:E11)</f>
        <v>39485382.457343586</v>
      </c>
      <c r="F12" s="257">
        <f>SUM(F7:F11)</f>
        <v>47240646.457343586</v>
      </c>
      <c r="G12" s="248"/>
      <c r="H12" s="248"/>
      <c r="I12" s="248"/>
    </row>
    <row r="13" spans="1:9" ht="18" customHeight="1">
      <c r="A13" s="251"/>
      <c r="B13" s="252"/>
      <c r="C13" s="252"/>
      <c r="D13" s="252"/>
      <c r="E13" s="252"/>
      <c r="F13" s="252"/>
    </row>
    <row r="14" spans="1:9" ht="18" customHeight="1">
      <c r="A14" s="250" t="s">
        <v>408</v>
      </c>
      <c r="B14" s="8" t="s">
        <v>439</v>
      </c>
      <c r="C14" s="8" t="s">
        <v>439</v>
      </c>
      <c r="D14" s="8" t="s">
        <v>439</v>
      </c>
      <c r="E14" s="8" t="s">
        <v>439</v>
      </c>
      <c r="F14" s="8" t="s">
        <v>439</v>
      </c>
    </row>
    <row r="15" spans="1:9" ht="18" customHeight="1">
      <c r="A15" s="251" t="s">
        <v>409</v>
      </c>
      <c r="B15" s="256">
        <f>'C3'!E26</f>
        <v>16515769.778051246</v>
      </c>
      <c r="C15" s="256">
        <f>'C3'!H26</f>
        <v>0</v>
      </c>
      <c r="D15" s="256">
        <f>'C3'!K26</f>
        <v>0</v>
      </c>
      <c r="E15" s="256">
        <f>'C3'!N26</f>
        <v>0</v>
      </c>
      <c r="F15" s="256">
        <f>'C3'!Q26</f>
        <v>0</v>
      </c>
    </row>
    <row r="16" spans="1:9" ht="18" customHeight="1">
      <c r="A16" s="251" t="s">
        <v>410</v>
      </c>
      <c r="B16" s="256">
        <f>'C7'!D21</f>
        <v>2408662.9088420616</v>
      </c>
      <c r="C16" s="256">
        <f>'C7'!E21</f>
        <v>4941123.7726658965</v>
      </c>
      <c r="D16" s="256">
        <f>'C7'!F21</f>
        <v>5934010.8603056651</v>
      </c>
      <c r="E16" s="256">
        <f>'C7'!G21</f>
        <v>7175819.0698213642</v>
      </c>
      <c r="F16" s="256">
        <f>'C7'!H21</f>
        <v>8736330.2373341732</v>
      </c>
    </row>
    <row r="17" spans="1:9" ht="18" customHeight="1">
      <c r="A17" s="251" t="s">
        <v>357</v>
      </c>
      <c r="B17" s="256">
        <f>'C6F'!C13</f>
        <v>844742.73600000003</v>
      </c>
      <c r="C17" s="256">
        <f>'C6F'!D13</f>
        <v>1573232.2848000003</v>
      </c>
      <c r="D17" s="256">
        <f>'C6F'!E13</f>
        <v>1730555.5132800001</v>
      </c>
      <c r="E17" s="256">
        <f>'C6F'!F13</f>
        <v>1903611.064608</v>
      </c>
      <c r="F17" s="256">
        <f>'C6F'!G13</f>
        <v>2093972.1710687999</v>
      </c>
    </row>
    <row r="18" spans="1:9" ht="18" customHeight="1">
      <c r="A18" s="252" t="s">
        <v>358</v>
      </c>
      <c r="B18" s="256">
        <f>'C9'!D18</f>
        <v>1094618.6528420618</v>
      </c>
      <c r="C18" s="256">
        <f>'C9'!E18</f>
        <v>2493873.5518658962</v>
      </c>
      <c r="D18" s="256">
        <f>'C9'!F18</f>
        <v>3242035.6174256648</v>
      </c>
      <c r="E18" s="256">
        <f>'C9'!G18</f>
        <v>4214646.3026533639</v>
      </c>
      <c r="F18" s="256">
        <f>'C9'!H18</f>
        <v>5479040.1934493743</v>
      </c>
    </row>
    <row r="19" spans="1:9" ht="18" customHeight="1">
      <c r="A19" s="251" t="s">
        <v>360</v>
      </c>
      <c r="B19" s="256">
        <f>'C4'!D21</f>
        <v>709062.45734358253</v>
      </c>
      <c r="C19" s="256">
        <f>'C4'!E21</f>
        <v>709062.45734358253</v>
      </c>
      <c r="D19" s="256">
        <f>'C4'!F21</f>
        <v>709062.45734358253</v>
      </c>
      <c r="E19" s="256">
        <f>'C4'!G21</f>
        <v>709062.45734358253</v>
      </c>
      <c r="F19" s="256">
        <f>'C4'!H21</f>
        <v>709062.45734358253</v>
      </c>
    </row>
    <row r="20" spans="1:9" ht="18" customHeight="1">
      <c r="A20" s="251" t="s">
        <v>411</v>
      </c>
      <c r="B20" s="256">
        <f>'C5'!D42</f>
        <v>2283042.6707283775</v>
      </c>
      <c r="C20" s="256">
        <f>'C5'!D43</f>
        <v>2139169.9877203838</v>
      </c>
      <c r="D20" s="256">
        <f>'C5'!D44</f>
        <v>1702995.1000706363</v>
      </c>
      <c r="E20" s="256">
        <f>'C5'!D45</f>
        <v>1162138.2393849492</v>
      </c>
      <c r="F20" s="256">
        <f>'C5'!D46</f>
        <v>491475.73213469697</v>
      </c>
    </row>
    <row r="21" spans="1:9" ht="18" customHeight="1">
      <c r="A21" s="251" t="s">
        <v>412</v>
      </c>
      <c r="B21" s="256">
        <f>'C5'!C42</f>
        <v>0</v>
      </c>
      <c r="C21" s="256">
        <f>'C5'!C43</f>
        <v>1817395.3652072812</v>
      </c>
      <c r="D21" s="256">
        <f>'C5'!C44</f>
        <v>2253570.2528570285</v>
      </c>
      <c r="E21" s="256">
        <f>'C5'!C45</f>
        <v>2794427.113542716</v>
      </c>
      <c r="F21" s="256">
        <f>'C5'!C46</f>
        <v>3465089.6207929677</v>
      </c>
    </row>
    <row r="22" spans="1:9" ht="18" customHeight="1">
      <c r="A22" s="251" t="s">
        <v>341</v>
      </c>
      <c r="B22" s="256">
        <f>'C10'!C12</f>
        <v>312963.74744923261</v>
      </c>
      <c r="C22" s="256">
        <f>'C10'!D12</f>
        <v>1901878.8859718468</v>
      </c>
      <c r="D22" s="256">
        <f>'C10'!E12</f>
        <v>8121460.7379752398</v>
      </c>
      <c r="E22" s="256">
        <f>'C10'!F12</f>
        <v>10080462.079373036</v>
      </c>
      <c r="F22" s="256">
        <f>'C10'!G12</f>
        <v>12414703.294883765</v>
      </c>
    </row>
    <row r="23" spans="1:9" s="247" customFormat="1" ht="18" customHeight="1">
      <c r="A23" s="250" t="s">
        <v>413</v>
      </c>
      <c r="B23" s="257">
        <f>SUM(B15:B22)-B16</f>
        <v>21760200.042414505</v>
      </c>
      <c r="C23" s="257">
        <f>SUM(C15:C22)-C16</f>
        <v>10634612.532908991</v>
      </c>
      <c r="D23" s="257">
        <f>SUM(D15:D22)-D16</f>
        <v>17759679.67895215</v>
      </c>
      <c r="E23" s="257">
        <f>SUM(E15:E22)-E16</f>
        <v>20864347.256905645</v>
      </c>
      <c r="F23" s="257">
        <f>SUM(F15:F22)-F16</f>
        <v>24653343.469673187</v>
      </c>
      <c r="G23" s="248"/>
      <c r="H23" s="248"/>
      <c r="I23" s="248"/>
    </row>
    <row r="24" spans="1:9" s="247" customFormat="1" ht="18" customHeight="1">
      <c r="A24" s="250" t="s">
        <v>414</v>
      </c>
      <c r="B24" s="257">
        <f>B12-B23</f>
        <v>1866764.192980323</v>
      </c>
      <c r="C24" s="257">
        <f>C12-C23</f>
        <v>3538449.9244345911</v>
      </c>
      <c r="D24" s="257">
        <f>D12-D23</f>
        <v>15262982.778391432</v>
      </c>
      <c r="E24" s="257">
        <f>E12-E23</f>
        <v>18621035.200437941</v>
      </c>
      <c r="F24" s="257">
        <f>F12-F23</f>
        <v>22587302.987670399</v>
      </c>
      <c r="G24" s="248"/>
      <c r="H24" s="248"/>
      <c r="I24" s="248"/>
    </row>
    <row r="25" spans="1:9" s="247" customFormat="1" ht="18" customHeight="1">
      <c r="A25" s="250" t="s">
        <v>415</v>
      </c>
      <c r="B25" s="257">
        <f>B24</f>
        <v>1866764.192980323</v>
      </c>
      <c r="C25" s="257">
        <f>C24+B25</f>
        <v>5405214.1174149141</v>
      </c>
      <c r="D25" s="257">
        <f>D24+C25</f>
        <v>20668196.895806346</v>
      </c>
      <c r="E25" s="257">
        <f>E24+D25</f>
        <v>39289232.09624429</v>
      </c>
      <c r="F25" s="257">
        <f>F24+E25</f>
        <v>61876535.08391469</v>
      </c>
      <c r="G25" s="248"/>
      <c r="H25" s="248"/>
      <c r="I25" s="248"/>
    </row>
  </sheetData>
  <mergeCells count="1">
    <mergeCell ref="A2:F2"/>
  </mergeCells>
  <printOptions horizontalCentered="1" verticalCentered="1"/>
  <pageMargins left="0.78740157480314965" right="0.78740157480314965" top="0.78740157480314965" bottom="0.78740157480314965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R50"/>
  <sheetViews>
    <sheetView topLeftCell="A29" workbookViewId="0">
      <selection activeCell="B47" sqref="B47"/>
    </sheetView>
  </sheetViews>
  <sheetFormatPr baseColWidth="10" defaultRowHeight="15.75"/>
  <cols>
    <col min="1" max="1" width="11.42578125" style="1"/>
    <col min="2" max="2" width="50.140625" style="1" customWidth="1"/>
    <col min="3" max="3" width="10.140625" style="1" bestFit="1" customWidth="1"/>
    <col min="4" max="4" width="8.5703125" style="1" customWidth="1"/>
    <col min="5" max="5" width="11.28515625" style="1" bestFit="1" customWidth="1"/>
    <col min="6" max="6" width="8.5703125" style="1" customWidth="1"/>
    <col min="7" max="7" width="8.42578125" style="1" customWidth="1"/>
    <col min="8" max="8" width="6" bestFit="1" customWidth="1"/>
    <col min="9" max="9" width="8.28515625" customWidth="1"/>
    <col min="10" max="10" width="8" customWidth="1"/>
    <col min="11" max="11" width="6" bestFit="1" customWidth="1"/>
    <col min="12" max="12" width="8.85546875" customWidth="1"/>
    <col min="13" max="13" width="8.28515625" customWidth="1"/>
    <col min="14" max="14" width="6" bestFit="1" customWidth="1"/>
    <col min="15" max="15" width="9" customWidth="1"/>
    <col min="16" max="16" width="8.42578125" customWidth="1"/>
    <col min="17" max="17" width="6" bestFit="1" customWidth="1"/>
  </cols>
  <sheetData>
    <row r="3" spans="1:18">
      <c r="B3" s="2"/>
      <c r="C3" s="3"/>
      <c r="D3" s="3"/>
      <c r="E3" s="3"/>
      <c r="F3" s="3"/>
      <c r="G3" s="3"/>
    </row>
    <row r="4" spans="1:18">
      <c r="B4" s="272" t="s">
        <v>78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18">
      <c r="B5" s="3"/>
      <c r="C5" s="3"/>
      <c r="D5" s="3"/>
      <c r="E5" s="3"/>
      <c r="F5" s="3"/>
      <c r="G5" s="3"/>
    </row>
    <row r="6" spans="1:18">
      <c r="B6" s="3"/>
      <c r="C6" s="3"/>
      <c r="D6" s="3"/>
      <c r="E6" s="3"/>
      <c r="F6" s="3"/>
      <c r="G6" s="3"/>
    </row>
    <row r="7" spans="1:18" ht="31.5" customHeight="1">
      <c r="B7" s="6"/>
      <c r="C7" s="273" t="s">
        <v>32</v>
      </c>
      <c r="D7" s="274"/>
      <c r="E7" s="275"/>
      <c r="F7" s="273" t="s">
        <v>3</v>
      </c>
      <c r="G7" s="274"/>
      <c r="H7" s="275"/>
      <c r="I7" s="273" t="s">
        <v>33</v>
      </c>
      <c r="J7" s="274"/>
      <c r="K7" s="275"/>
      <c r="L7" s="273" t="s">
        <v>34</v>
      </c>
      <c r="M7" s="274"/>
      <c r="N7" s="275"/>
      <c r="O7" s="273" t="s">
        <v>35</v>
      </c>
      <c r="P7" s="274"/>
      <c r="Q7" s="275"/>
    </row>
    <row r="8" spans="1:18" s="31" customFormat="1" ht="47.25">
      <c r="A8" s="30"/>
      <c r="B8" s="28" t="s">
        <v>38</v>
      </c>
      <c r="C8" s="28" t="s">
        <v>39</v>
      </c>
      <c r="D8" s="28" t="s">
        <v>40</v>
      </c>
      <c r="E8" s="28" t="s">
        <v>37</v>
      </c>
      <c r="F8" s="28" t="s">
        <v>39</v>
      </c>
      <c r="G8" s="28" t="s">
        <v>40</v>
      </c>
      <c r="H8" s="28" t="s">
        <v>37</v>
      </c>
      <c r="I8" s="28" t="s">
        <v>39</v>
      </c>
      <c r="J8" s="28" t="s">
        <v>40</v>
      </c>
      <c r="K8" s="28" t="s">
        <v>37</v>
      </c>
      <c r="L8" s="28" t="s">
        <v>39</v>
      </c>
      <c r="M8" s="28" t="s">
        <v>40</v>
      </c>
      <c r="N8" s="28" t="s">
        <v>37</v>
      </c>
      <c r="O8" s="28" t="s">
        <v>39</v>
      </c>
      <c r="P8" s="28" t="s">
        <v>40</v>
      </c>
      <c r="Q8" s="28" t="s">
        <v>37</v>
      </c>
      <c r="R8" s="214" t="s">
        <v>58</v>
      </c>
    </row>
    <row r="9" spans="1:18">
      <c r="B9" s="32" t="s">
        <v>64</v>
      </c>
      <c r="C9" s="61"/>
      <c r="D9" s="47"/>
      <c r="E9" s="8"/>
      <c r="F9" s="8"/>
      <c r="G9" s="8"/>
      <c r="H9" s="67"/>
      <c r="I9" s="67"/>
      <c r="J9" s="67"/>
      <c r="K9" s="67"/>
      <c r="L9" s="67"/>
      <c r="M9" s="67"/>
      <c r="N9" s="67"/>
      <c r="O9" s="67"/>
      <c r="P9" s="67"/>
      <c r="Q9" s="67"/>
      <c r="R9" s="215">
        <f>Q9+N9+K9+H9+E9</f>
        <v>0</v>
      </c>
    </row>
    <row r="10" spans="1:18">
      <c r="B10" s="33" t="s">
        <v>60</v>
      </c>
      <c r="C10" s="127">
        <f>4854+790</f>
        <v>5644</v>
      </c>
      <c r="D10" s="48">
        <v>19</v>
      </c>
      <c r="E10" s="127">
        <f>C10*D10</f>
        <v>107236</v>
      </c>
      <c r="F10" s="10"/>
      <c r="G10" s="10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215">
        <f t="shared" ref="R10:R34" si="0">Q10+N10+K10+H10+E10</f>
        <v>107236</v>
      </c>
    </row>
    <row r="11" spans="1:18">
      <c r="B11" s="33" t="s">
        <v>61</v>
      </c>
      <c r="C11" s="127">
        <f>1227+1650</f>
        <v>2877</v>
      </c>
      <c r="D11" s="143">
        <v>1</v>
      </c>
      <c r="E11" s="127">
        <f t="shared" ref="E11:E14" si="1">C11*D11</f>
        <v>2877</v>
      </c>
      <c r="F11" s="11"/>
      <c r="G11" s="11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215">
        <f t="shared" si="0"/>
        <v>2877</v>
      </c>
    </row>
    <row r="12" spans="1:18">
      <c r="B12" s="33" t="s">
        <v>62</v>
      </c>
      <c r="C12" s="127">
        <v>346</v>
      </c>
      <c r="D12" s="48">
        <v>19</v>
      </c>
      <c r="E12" s="127">
        <f t="shared" si="1"/>
        <v>6574</v>
      </c>
      <c r="F12" s="11"/>
      <c r="G12" s="11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215">
        <f t="shared" si="0"/>
        <v>6574</v>
      </c>
    </row>
    <row r="13" spans="1:18">
      <c r="B13" s="210" t="s">
        <v>72</v>
      </c>
      <c r="C13" s="127">
        <v>3000</v>
      </c>
      <c r="D13" s="48">
        <v>19</v>
      </c>
      <c r="E13" s="127">
        <f t="shared" si="1"/>
        <v>57000</v>
      </c>
      <c r="F13" s="11"/>
      <c r="G13" s="11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215">
        <f t="shared" si="0"/>
        <v>57000</v>
      </c>
    </row>
    <row r="14" spans="1:18">
      <c r="B14" s="33" t="s">
        <v>63</v>
      </c>
      <c r="C14" s="127">
        <v>140</v>
      </c>
      <c r="D14" s="48">
        <v>19</v>
      </c>
      <c r="E14" s="127">
        <f t="shared" si="1"/>
        <v>2660</v>
      </c>
      <c r="F14" s="8"/>
      <c r="G14" s="8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215">
        <f t="shared" si="0"/>
        <v>2660</v>
      </c>
    </row>
    <row r="15" spans="1:18">
      <c r="B15" s="32" t="s">
        <v>41</v>
      </c>
      <c r="C15" s="127"/>
      <c r="D15" s="48"/>
      <c r="E15" s="127"/>
      <c r="F15" s="26"/>
      <c r="G15" s="26"/>
      <c r="H15" s="67"/>
      <c r="I15" s="67"/>
      <c r="J15" s="29"/>
      <c r="K15" s="67"/>
      <c r="L15" s="67"/>
      <c r="M15" s="67"/>
      <c r="N15" s="67"/>
      <c r="O15" s="67"/>
      <c r="P15" s="67"/>
      <c r="Q15" s="67"/>
      <c r="R15" s="215">
        <f t="shared" si="0"/>
        <v>0</v>
      </c>
    </row>
    <row r="16" spans="1:18">
      <c r="B16" s="33" t="s">
        <v>59</v>
      </c>
      <c r="C16" s="127">
        <v>41900</v>
      </c>
      <c r="D16" s="48">
        <v>1</v>
      </c>
      <c r="E16" s="127">
        <f>C16*D16</f>
        <v>41900</v>
      </c>
      <c r="F16" s="26"/>
      <c r="G16" s="26"/>
      <c r="H16" s="67"/>
      <c r="I16" s="67"/>
      <c r="J16" s="29"/>
      <c r="K16" s="67"/>
      <c r="L16" s="67"/>
      <c r="M16" s="67"/>
      <c r="N16" s="67"/>
      <c r="O16" s="67"/>
      <c r="P16" s="67"/>
      <c r="Q16" s="67"/>
      <c r="R16" s="215">
        <f t="shared" si="0"/>
        <v>41900</v>
      </c>
    </row>
    <row r="17" spans="2:18">
      <c r="B17" s="33" t="s">
        <v>65</v>
      </c>
      <c r="C17" s="127">
        <v>30574.5</v>
      </c>
      <c r="D17" s="48">
        <v>1</v>
      </c>
      <c r="E17" s="127">
        <f t="shared" ref="E17:E37" si="2">C17*D17</f>
        <v>30574.5</v>
      </c>
      <c r="F17" s="26"/>
      <c r="G17" s="26"/>
      <c r="H17" s="67"/>
      <c r="I17" s="67"/>
      <c r="J17" s="29"/>
      <c r="K17" s="67"/>
      <c r="L17" s="67"/>
      <c r="M17" s="67"/>
      <c r="N17" s="67"/>
      <c r="O17" s="67"/>
      <c r="P17" s="67"/>
      <c r="Q17" s="67"/>
      <c r="R17" s="215">
        <f t="shared" si="0"/>
        <v>30574.5</v>
      </c>
    </row>
    <row r="18" spans="2:18">
      <c r="B18" s="33" t="s">
        <v>66</v>
      </c>
      <c r="C18" s="127">
        <v>27900</v>
      </c>
      <c r="D18" s="48">
        <v>1</v>
      </c>
      <c r="E18" s="127">
        <f t="shared" si="2"/>
        <v>27900</v>
      </c>
      <c r="F18" s="26"/>
      <c r="G18" s="26"/>
      <c r="H18" s="67"/>
      <c r="I18" s="67"/>
      <c r="J18" s="29"/>
      <c r="K18" s="67"/>
      <c r="L18" s="67"/>
      <c r="M18" s="67"/>
      <c r="N18" s="67"/>
      <c r="O18" s="67"/>
      <c r="P18" s="67"/>
      <c r="Q18" s="67"/>
      <c r="R18" s="215">
        <f t="shared" si="0"/>
        <v>27900</v>
      </c>
    </row>
    <row r="19" spans="2:18">
      <c r="B19" s="33" t="s">
        <v>67</v>
      </c>
      <c r="C19" s="127">
        <v>25756.7</v>
      </c>
      <c r="D19" s="48">
        <v>1</v>
      </c>
      <c r="E19" s="127">
        <f t="shared" si="2"/>
        <v>25756.7</v>
      </c>
      <c r="F19" s="26"/>
      <c r="G19" s="26"/>
      <c r="H19" s="67"/>
      <c r="I19" s="67"/>
      <c r="J19" s="29"/>
      <c r="K19" s="67"/>
      <c r="L19" s="67"/>
      <c r="M19" s="67"/>
      <c r="N19" s="67"/>
      <c r="O19" s="67"/>
      <c r="P19" s="67"/>
      <c r="Q19" s="67"/>
      <c r="R19" s="215">
        <f t="shared" si="0"/>
        <v>25756.7</v>
      </c>
    </row>
    <row r="20" spans="2:18">
      <c r="B20" s="210" t="s">
        <v>68</v>
      </c>
      <c r="C20" s="127">
        <v>30000</v>
      </c>
      <c r="D20" s="48">
        <v>1</v>
      </c>
      <c r="E20" s="127">
        <f t="shared" si="2"/>
        <v>30000</v>
      </c>
      <c r="F20" s="26"/>
      <c r="G20" s="26"/>
      <c r="H20" s="67"/>
      <c r="I20" s="67"/>
      <c r="J20" s="29"/>
      <c r="K20" s="67"/>
      <c r="L20" s="67"/>
      <c r="M20" s="67"/>
      <c r="N20" s="67"/>
      <c r="O20" s="67"/>
      <c r="P20" s="67"/>
      <c r="Q20" s="67"/>
      <c r="R20" s="215">
        <f t="shared" si="0"/>
        <v>30000</v>
      </c>
    </row>
    <row r="21" spans="2:18">
      <c r="B21" s="210" t="s">
        <v>69</v>
      </c>
      <c r="C21" s="127">
        <v>15000</v>
      </c>
      <c r="D21" s="48">
        <v>1</v>
      </c>
      <c r="E21" s="127">
        <f t="shared" si="2"/>
        <v>15000</v>
      </c>
      <c r="F21" s="26"/>
      <c r="G21" s="26"/>
      <c r="H21" s="67"/>
      <c r="I21" s="67"/>
      <c r="J21" s="29"/>
      <c r="K21" s="67"/>
      <c r="L21" s="67"/>
      <c r="M21" s="67"/>
      <c r="N21" s="67"/>
      <c r="O21" s="67"/>
      <c r="P21" s="67"/>
      <c r="Q21" s="67"/>
      <c r="R21" s="215">
        <f t="shared" si="0"/>
        <v>15000</v>
      </c>
    </row>
    <row r="22" spans="2:18">
      <c r="B22" s="33" t="s">
        <v>70</v>
      </c>
      <c r="C22" s="127">
        <v>2869</v>
      </c>
      <c r="D22" s="48">
        <v>1</v>
      </c>
      <c r="E22" s="127">
        <f t="shared" si="2"/>
        <v>2869</v>
      </c>
      <c r="F22" s="26"/>
      <c r="G22" s="26"/>
      <c r="H22" s="67"/>
      <c r="I22" s="67"/>
      <c r="J22" s="29"/>
      <c r="K22" s="67"/>
      <c r="L22" s="67"/>
      <c r="M22" s="67"/>
      <c r="N22" s="67"/>
      <c r="O22" s="67"/>
      <c r="P22" s="67"/>
      <c r="Q22" s="67"/>
      <c r="R22" s="215">
        <f t="shared" si="0"/>
        <v>2869</v>
      </c>
    </row>
    <row r="23" spans="2:18">
      <c r="B23" s="33" t="s">
        <v>245</v>
      </c>
      <c r="C23" s="127">
        <v>19500</v>
      </c>
      <c r="D23" s="48">
        <v>1</v>
      </c>
      <c r="E23" s="127">
        <f t="shared" si="2"/>
        <v>19500</v>
      </c>
      <c r="F23" s="26"/>
      <c r="G23" s="26"/>
      <c r="H23" s="67"/>
      <c r="I23" s="67"/>
      <c r="J23" s="29"/>
      <c r="K23" s="67"/>
      <c r="L23" s="67"/>
      <c r="M23" s="67"/>
      <c r="N23" s="67"/>
      <c r="O23" s="67"/>
      <c r="P23" s="67"/>
      <c r="Q23" s="67"/>
      <c r="R23" s="215">
        <f t="shared" si="0"/>
        <v>19500</v>
      </c>
    </row>
    <row r="24" spans="2:18">
      <c r="B24" s="33" t="s">
        <v>71</v>
      </c>
      <c r="C24" s="127">
        <v>25500</v>
      </c>
      <c r="D24" s="48">
        <v>1</v>
      </c>
      <c r="E24" s="127">
        <f t="shared" si="2"/>
        <v>25500</v>
      </c>
      <c r="F24" s="26"/>
      <c r="G24" s="26"/>
      <c r="H24" s="67"/>
      <c r="I24" s="67"/>
      <c r="J24" s="29"/>
      <c r="K24" s="67"/>
      <c r="L24" s="67"/>
      <c r="M24" s="67"/>
      <c r="N24" s="67"/>
      <c r="O24" s="67"/>
      <c r="P24" s="67"/>
      <c r="Q24" s="67"/>
      <c r="R24" s="215">
        <f t="shared" si="0"/>
        <v>25500</v>
      </c>
    </row>
    <row r="25" spans="2:18">
      <c r="B25" s="33" t="s">
        <v>256</v>
      </c>
      <c r="C25" s="127">
        <v>60205.440000000002</v>
      </c>
      <c r="D25" s="48">
        <v>2</v>
      </c>
      <c r="E25" s="127">
        <f t="shared" si="2"/>
        <v>120410.88</v>
      </c>
      <c r="F25" s="26"/>
      <c r="G25" s="26"/>
      <c r="H25" s="67"/>
      <c r="I25" s="67"/>
      <c r="J25" s="29"/>
      <c r="K25" s="67"/>
      <c r="L25" s="67"/>
      <c r="M25" s="67"/>
      <c r="N25" s="67"/>
      <c r="O25" s="67"/>
      <c r="P25" s="67"/>
      <c r="Q25" s="67"/>
      <c r="R25" s="215">
        <f t="shared" si="0"/>
        <v>120410.88</v>
      </c>
    </row>
    <row r="26" spans="2:18">
      <c r="B26" s="33" t="s">
        <v>257</v>
      </c>
      <c r="C26" s="127">
        <v>4510</v>
      </c>
      <c r="D26" s="48">
        <v>1</v>
      </c>
      <c r="E26" s="127">
        <f t="shared" si="2"/>
        <v>4510</v>
      </c>
      <c r="F26" s="26"/>
      <c r="G26" s="26"/>
      <c r="H26" s="67"/>
      <c r="I26" s="67"/>
      <c r="J26" s="29"/>
      <c r="K26" s="67"/>
      <c r="L26" s="67"/>
      <c r="M26" s="67"/>
      <c r="N26" s="67"/>
      <c r="O26" s="67"/>
      <c r="P26" s="67"/>
      <c r="Q26" s="67"/>
      <c r="R26" s="215">
        <f t="shared" si="0"/>
        <v>4510</v>
      </c>
    </row>
    <row r="27" spans="2:18">
      <c r="B27" s="210" t="s">
        <v>302</v>
      </c>
      <c r="C27" s="127">
        <v>1000</v>
      </c>
      <c r="D27" s="48">
        <v>3</v>
      </c>
      <c r="E27" s="127">
        <f t="shared" si="2"/>
        <v>3000</v>
      </c>
      <c r="F27" s="26"/>
      <c r="G27" s="26"/>
      <c r="H27" s="67"/>
      <c r="I27" s="67"/>
      <c r="J27" s="29"/>
      <c r="K27" s="67"/>
      <c r="L27" s="67"/>
      <c r="M27" s="67"/>
      <c r="N27" s="67"/>
      <c r="O27" s="67"/>
      <c r="P27" s="67"/>
      <c r="Q27" s="67"/>
      <c r="R27" s="215"/>
    </row>
    <row r="28" spans="2:18">
      <c r="B28" s="210" t="s">
        <v>73</v>
      </c>
      <c r="C28" s="127">
        <f>15000+3900</f>
        <v>18900</v>
      </c>
      <c r="D28" s="48">
        <v>1</v>
      </c>
      <c r="E28" s="127">
        <f t="shared" si="2"/>
        <v>18900</v>
      </c>
      <c r="F28" s="26"/>
      <c r="G28" s="26"/>
      <c r="H28" s="67"/>
      <c r="I28" s="67"/>
      <c r="J28" s="29"/>
      <c r="K28" s="67"/>
      <c r="L28" s="67"/>
      <c r="M28" s="67"/>
      <c r="N28" s="67"/>
      <c r="O28" s="67"/>
      <c r="P28" s="67"/>
      <c r="Q28" s="67"/>
      <c r="R28" s="215">
        <f t="shared" si="0"/>
        <v>18900</v>
      </c>
    </row>
    <row r="29" spans="2:18">
      <c r="B29" s="33" t="s">
        <v>74</v>
      </c>
      <c r="C29" s="127">
        <v>695</v>
      </c>
      <c r="D29" s="48">
        <v>1</v>
      </c>
      <c r="E29" s="127">
        <f t="shared" si="2"/>
        <v>695</v>
      </c>
      <c r="F29" s="26"/>
      <c r="G29" s="26"/>
      <c r="H29" s="67"/>
      <c r="I29" s="67"/>
      <c r="J29" s="29"/>
      <c r="K29" s="67"/>
      <c r="L29" s="67"/>
      <c r="M29" s="67"/>
      <c r="N29" s="67"/>
      <c r="O29" s="67"/>
      <c r="P29" s="67"/>
      <c r="Q29" s="67"/>
      <c r="R29" s="215">
        <f t="shared" si="0"/>
        <v>695</v>
      </c>
    </row>
    <row r="30" spans="2:18">
      <c r="B30" s="210" t="s">
        <v>75</v>
      </c>
      <c r="C30" s="127">
        <v>15000</v>
      </c>
      <c r="D30" s="48">
        <v>1</v>
      </c>
      <c r="E30" s="127">
        <f t="shared" si="2"/>
        <v>15000</v>
      </c>
      <c r="F30" s="26"/>
      <c r="G30" s="26"/>
      <c r="H30" s="67"/>
      <c r="I30" s="67"/>
      <c r="J30" s="29"/>
      <c r="K30" s="67"/>
      <c r="L30" s="67"/>
      <c r="M30" s="67"/>
      <c r="N30" s="67"/>
      <c r="O30" s="67"/>
      <c r="P30" s="67"/>
      <c r="Q30" s="67"/>
      <c r="R30" s="215">
        <f t="shared" si="0"/>
        <v>15000</v>
      </c>
    </row>
    <row r="31" spans="2:18">
      <c r="B31" s="210" t="s">
        <v>76</v>
      </c>
      <c r="C31" s="127">
        <v>18300.851999999999</v>
      </c>
      <c r="D31" s="48">
        <v>1</v>
      </c>
      <c r="E31" s="127">
        <f t="shared" si="2"/>
        <v>18300.851999999999</v>
      </c>
      <c r="F31" s="26"/>
      <c r="G31" s="26"/>
      <c r="H31" s="67"/>
      <c r="I31" s="67"/>
      <c r="J31" s="29"/>
      <c r="K31" s="67"/>
      <c r="L31" s="67"/>
      <c r="M31" s="67"/>
      <c r="N31" s="67"/>
      <c r="O31" s="67"/>
      <c r="P31" s="67"/>
      <c r="Q31" s="67"/>
      <c r="R31" s="215">
        <f t="shared" si="0"/>
        <v>18300.851999999999</v>
      </c>
    </row>
    <row r="32" spans="2:18">
      <c r="B32" s="33" t="s">
        <v>63</v>
      </c>
      <c r="C32" s="127">
        <v>140</v>
      </c>
      <c r="D32" s="48">
        <v>4</v>
      </c>
      <c r="E32" s="127">
        <f t="shared" si="2"/>
        <v>560</v>
      </c>
      <c r="F32" s="26"/>
      <c r="G32" s="26"/>
      <c r="H32" s="67"/>
      <c r="I32" s="67"/>
      <c r="J32" s="29"/>
      <c r="K32" s="67"/>
      <c r="L32" s="67"/>
      <c r="M32" s="67"/>
      <c r="N32" s="67"/>
      <c r="O32" s="67"/>
      <c r="P32" s="67"/>
      <c r="Q32" s="67"/>
      <c r="R32" s="215">
        <f t="shared" si="0"/>
        <v>560</v>
      </c>
    </row>
    <row r="33" spans="2:18">
      <c r="B33" s="33" t="s">
        <v>77</v>
      </c>
      <c r="C33" s="127">
        <v>6570</v>
      </c>
      <c r="D33" s="48">
        <v>1</v>
      </c>
      <c r="E33" s="127">
        <f t="shared" si="2"/>
        <v>6570</v>
      </c>
      <c r="F33" s="26"/>
      <c r="G33" s="26"/>
      <c r="H33" s="67"/>
      <c r="I33" s="67"/>
      <c r="J33" s="29"/>
      <c r="K33" s="67"/>
      <c r="L33" s="67"/>
      <c r="M33" s="67"/>
      <c r="N33" s="67"/>
      <c r="O33" s="67"/>
      <c r="P33" s="67"/>
      <c r="Q33" s="67"/>
      <c r="R33" s="215">
        <f t="shared" si="0"/>
        <v>6570</v>
      </c>
    </row>
    <row r="34" spans="2:18">
      <c r="B34" s="33" t="s">
        <v>62</v>
      </c>
      <c r="C34" s="127">
        <v>346</v>
      </c>
      <c r="D34" s="48">
        <v>3</v>
      </c>
      <c r="E34" s="127">
        <f t="shared" si="2"/>
        <v>1038</v>
      </c>
      <c r="F34" s="11"/>
      <c r="G34" s="11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215">
        <f t="shared" si="0"/>
        <v>1038</v>
      </c>
    </row>
    <row r="35" spans="2:18">
      <c r="B35" s="32" t="s">
        <v>251</v>
      </c>
      <c r="C35" s="127"/>
      <c r="D35" s="48"/>
      <c r="E35" s="127"/>
      <c r="F35" s="11"/>
      <c r="G35" s="11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215"/>
    </row>
    <row r="36" spans="2:18">
      <c r="B36" s="210" t="s">
        <v>255</v>
      </c>
      <c r="C36" s="127">
        <f>5*4000+2*8000+5*1700</f>
        <v>44500</v>
      </c>
      <c r="D36" s="48">
        <v>1</v>
      </c>
      <c r="E36" s="127">
        <f t="shared" si="2"/>
        <v>44500</v>
      </c>
      <c r="F36" s="11"/>
      <c r="G36" s="11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215"/>
    </row>
    <row r="37" spans="2:18">
      <c r="B37" s="210" t="s">
        <v>303</v>
      </c>
      <c r="C37" s="127">
        <f>1000*5+(1400*10+10*500)+5*1000</f>
        <v>29000</v>
      </c>
      <c r="D37" s="48">
        <v>1</v>
      </c>
      <c r="E37" s="127">
        <f t="shared" si="2"/>
        <v>29000</v>
      </c>
      <c r="F37" s="11"/>
      <c r="G37" s="11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215"/>
    </row>
    <row r="38" spans="2:18">
      <c r="B38" s="32" t="s">
        <v>58</v>
      </c>
      <c r="C38" s="127"/>
      <c r="D38" s="48"/>
      <c r="E38" s="131">
        <f>SUM(E10:E37)</f>
        <v>657831.93200000003</v>
      </c>
      <c r="F38" s="61"/>
      <c r="G38" s="61"/>
      <c r="H38" s="61">
        <f t="shared" ref="H38:R38" si="3">SUM(H10:H34)</f>
        <v>0</v>
      </c>
      <c r="I38" s="61"/>
      <c r="J38" s="61"/>
      <c r="K38" s="61">
        <f t="shared" si="3"/>
        <v>0</v>
      </c>
      <c r="L38" s="61"/>
      <c r="M38" s="61"/>
      <c r="N38" s="61">
        <f t="shared" si="3"/>
        <v>0</v>
      </c>
      <c r="O38" s="61"/>
      <c r="P38" s="61"/>
      <c r="Q38" s="61">
        <f t="shared" si="3"/>
        <v>0</v>
      </c>
      <c r="R38" s="131">
        <f t="shared" si="3"/>
        <v>581331.93200000003</v>
      </c>
    </row>
    <row r="39" spans="2:18">
      <c r="B39" s="3"/>
      <c r="C39" s="3"/>
      <c r="D39" s="3"/>
      <c r="E39" s="3"/>
      <c r="F39" s="3"/>
      <c r="G39" s="3"/>
      <c r="I39" s="24"/>
      <c r="J39" s="24"/>
    </row>
    <row r="40" spans="2:18">
      <c r="B40" s="3"/>
      <c r="C40" s="3"/>
      <c r="D40" s="3"/>
      <c r="E40" s="3"/>
      <c r="F40" s="3"/>
      <c r="G40" s="3"/>
      <c r="I40" s="24"/>
      <c r="J40" s="25"/>
    </row>
    <row r="41" spans="2:18">
      <c r="B41" s="2" t="s">
        <v>11</v>
      </c>
      <c r="C41" s="3"/>
      <c r="D41" s="3"/>
      <c r="E41" s="3"/>
      <c r="F41" s="3"/>
      <c r="G41" s="3"/>
    </row>
    <row r="42" spans="2:18">
      <c r="B42" s="3"/>
      <c r="C42" s="3"/>
      <c r="D42" s="3"/>
      <c r="E42" s="3"/>
      <c r="F42" s="3"/>
      <c r="G42" s="3"/>
    </row>
    <row r="43" spans="2:18">
      <c r="B43" s="39" t="s">
        <v>101</v>
      </c>
      <c r="C43" s="39"/>
      <c r="D43" s="40"/>
      <c r="E43" s="39"/>
      <c r="F43" s="39"/>
      <c r="G43" s="39"/>
      <c r="H43" s="39"/>
      <c r="I43" s="38"/>
      <c r="J43" s="38"/>
      <c r="K43" s="38"/>
      <c r="L43" s="34"/>
    </row>
    <row r="44" spans="2:18">
      <c r="B44" s="41" t="s">
        <v>102</v>
      </c>
      <c r="C44" s="41"/>
      <c r="D44" s="42"/>
      <c r="E44" s="39"/>
      <c r="F44" s="39"/>
      <c r="G44" s="39"/>
      <c r="H44" s="39"/>
      <c r="I44" s="38"/>
      <c r="J44" s="38"/>
      <c r="K44" s="38"/>
      <c r="L44" s="34"/>
    </row>
    <row r="45" spans="2:18">
      <c r="B45" s="41" t="s">
        <v>103</v>
      </c>
      <c r="C45" s="41"/>
      <c r="D45" s="40"/>
      <c r="E45" s="39"/>
      <c r="F45" s="39"/>
      <c r="G45" s="39"/>
      <c r="H45" s="39"/>
      <c r="I45" s="38"/>
      <c r="J45" s="38"/>
      <c r="K45" s="38"/>
      <c r="L45" s="34"/>
    </row>
    <row r="46" spans="2:18">
      <c r="B46" s="39"/>
      <c r="C46" s="39"/>
      <c r="D46" s="40"/>
      <c r="E46" s="39"/>
      <c r="F46" s="39"/>
      <c r="G46" s="39"/>
      <c r="H46" s="39"/>
      <c r="I46" s="38"/>
      <c r="J46" s="38"/>
      <c r="K46" s="38"/>
      <c r="L46" s="34"/>
    </row>
    <row r="47" spans="2:18">
      <c r="B47" s="39"/>
      <c r="C47" s="39"/>
      <c r="D47" s="43"/>
      <c r="E47" s="39"/>
      <c r="F47" s="39"/>
      <c r="G47" s="39"/>
      <c r="H47" s="39"/>
      <c r="I47" s="38"/>
      <c r="J47" s="38"/>
      <c r="K47" s="38"/>
      <c r="L47" s="34"/>
    </row>
    <row r="48" spans="2:18">
      <c r="B48" s="35"/>
      <c r="C48" s="35"/>
      <c r="D48" s="36"/>
      <c r="E48" s="36"/>
      <c r="F48" s="37"/>
      <c r="G48" s="35"/>
      <c r="H48" s="35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</sheetData>
  <mergeCells count="6">
    <mergeCell ref="B4:Q4"/>
    <mergeCell ref="C7:E7"/>
    <mergeCell ref="F7:H7"/>
    <mergeCell ref="I7:K7"/>
    <mergeCell ref="O7:Q7"/>
    <mergeCell ref="L7:N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7"/>
  <sheetViews>
    <sheetView topLeftCell="A4" zoomScale="75" workbookViewId="0">
      <selection activeCell="B18" sqref="B18"/>
    </sheetView>
  </sheetViews>
  <sheetFormatPr baseColWidth="10" defaultRowHeight="15.75"/>
  <cols>
    <col min="1" max="1" width="41.42578125" style="3" customWidth="1"/>
    <col min="2" max="2" width="14.5703125" style="3" customWidth="1"/>
    <col min="3" max="5" width="13.28515625" style="3" customWidth="1"/>
    <col min="6" max="7" width="13.42578125" style="3" customWidth="1"/>
    <col min="8" max="9" width="13.28515625" style="3" customWidth="1"/>
    <col min="10" max="10" width="12.85546875" style="3" customWidth="1"/>
    <col min="11" max="11" width="13.28515625" style="3" customWidth="1"/>
    <col min="12" max="12" width="13.85546875" style="3" customWidth="1"/>
    <col min="13" max="13" width="13.7109375" style="3" customWidth="1"/>
    <col min="14" max="14" width="14.28515625" style="3" customWidth="1"/>
    <col min="15" max="255" width="11.42578125" style="108"/>
    <col min="256" max="256" width="35.7109375" style="108" customWidth="1"/>
    <col min="257" max="260" width="13.28515625" style="108" customWidth="1"/>
    <col min="261" max="262" width="13.42578125" style="108" customWidth="1"/>
    <col min="263" max="264" width="13.28515625" style="108" customWidth="1"/>
    <col min="265" max="265" width="12.85546875" style="108" customWidth="1"/>
    <col min="266" max="267" width="12.5703125" style="108" customWidth="1"/>
    <col min="268" max="268" width="12.7109375" style="108" customWidth="1"/>
    <col min="269" max="269" width="0.42578125" style="108" customWidth="1"/>
    <col min="270" max="270" width="14.28515625" style="108" customWidth="1"/>
    <col min="271" max="511" width="11.42578125" style="108"/>
    <col min="512" max="512" width="35.7109375" style="108" customWidth="1"/>
    <col min="513" max="516" width="13.28515625" style="108" customWidth="1"/>
    <col min="517" max="518" width="13.42578125" style="108" customWidth="1"/>
    <col min="519" max="520" width="13.28515625" style="108" customWidth="1"/>
    <col min="521" max="521" width="12.85546875" style="108" customWidth="1"/>
    <col min="522" max="523" width="12.5703125" style="108" customWidth="1"/>
    <col min="524" max="524" width="12.7109375" style="108" customWidth="1"/>
    <col min="525" max="525" width="0.42578125" style="108" customWidth="1"/>
    <col min="526" max="526" width="14.28515625" style="108" customWidth="1"/>
    <col min="527" max="767" width="11.42578125" style="108"/>
    <col min="768" max="768" width="35.7109375" style="108" customWidth="1"/>
    <col min="769" max="772" width="13.28515625" style="108" customWidth="1"/>
    <col min="773" max="774" width="13.42578125" style="108" customWidth="1"/>
    <col min="775" max="776" width="13.28515625" style="108" customWidth="1"/>
    <col min="777" max="777" width="12.85546875" style="108" customWidth="1"/>
    <col min="778" max="779" width="12.5703125" style="108" customWidth="1"/>
    <col min="780" max="780" width="12.7109375" style="108" customWidth="1"/>
    <col min="781" max="781" width="0.42578125" style="108" customWidth="1"/>
    <col min="782" max="782" width="14.28515625" style="108" customWidth="1"/>
    <col min="783" max="1023" width="11.42578125" style="108"/>
    <col min="1024" max="1024" width="35.7109375" style="108" customWidth="1"/>
    <col min="1025" max="1028" width="13.28515625" style="108" customWidth="1"/>
    <col min="1029" max="1030" width="13.42578125" style="108" customWidth="1"/>
    <col min="1031" max="1032" width="13.28515625" style="108" customWidth="1"/>
    <col min="1033" max="1033" width="12.85546875" style="108" customWidth="1"/>
    <col min="1034" max="1035" width="12.5703125" style="108" customWidth="1"/>
    <col min="1036" max="1036" width="12.7109375" style="108" customWidth="1"/>
    <col min="1037" max="1037" width="0.42578125" style="108" customWidth="1"/>
    <col min="1038" max="1038" width="14.28515625" style="108" customWidth="1"/>
    <col min="1039" max="1279" width="11.42578125" style="108"/>
    <col min="1280" max="1280" width="35.7109375" style="108" customWidth="1"/>
    <col min="1281" max="1284" width="13.28515625" style="108" customWidth="1"/>
    <col min="1285" max="1286" width="13.42578125" style="108" customWidth="1"/>
    <col min="1287" max="1288" width="13.28515625" style="108" customWidth="1"/>
    <col min="1289" max="1289" width="12.85546875" style="108" customWidth="1"/>
    <col min="1290" max="1291" width="12.5703125" style="108" customWidth="1"/>
    <col min="1292" max="1292" width="12.7109375" style="108" customWidth="1"/>
    <col min="1293" max="1293" width="0.42578125" style="108" customWidth="1"/>
    <col min="1294" max="1294" width="14.28515625" style="108" customWidth="1"/>
    <col min="1295" max="1535" width="11.42578125" style="108"/>
    <col min="1536" max="1536" width="35.7109375" style="108" customWidth="1"/>
    <col min="1537" max="1540" width="13.28515625" style="108" customWidth="1"/>
    <col min="1541" max="1542" width="13.42578125" style="108" customWidth="1"/>
    <col min="1543" max="1544" width="13.28515625" style="108" customWidth="1"/>
    <col min="1545" max="1545" width="12.85546875" style="108" customWidth="1"/>
    <col min="1546" max="1547" width="12.5703125" style="108" customWidth="1"/>
    <col min="1548" max="1548" width="12.7109375" style="108" customWidth="1"/>
    <col min="1549" max="1549" width="0.42578125" style="108" customWidth="1"/>
    <col min="1550" max="1550" width="14.28515625" style="108" customWidth="1"/>
    <col min="1551" max="1791" width="11.42578125" style="108"/>
    <col min="1792" max="1792" width="35.7109375" style="108" customWidth="1"/>
    <col min="1793" max="1796" width="13.28515625" style="108" customWidth="1"/>
    <col min="1797" max="1798" width="13.42578125" style="108" customWidth="1"/>
    <col min="1799" max="1800" width="13.28515625" style="108" customWidth="1"/>
    <col min="1801" max="1801" width="12.85546875" style="108" customWidth="1"/>
    <col min="1802" max="1803" width="12.5703125" style="108" customWidth="1"/>
    <col min="1804" max="1804" width="12.7109375" style="108" customWidth="1"/>
    <col min="1805" max="1805" width="0.42578125" style="108" customWidth="1"/>
    <col min="1806" max="1806" width="14.28515625" style="108" customWidth="1"/>
    <col min="1807" max="2047" width="11.42578125" style="108"/>
    <col min="2048" max="2048" width="35.7109375" style="108" customWidth="1"/>
    <col min="2049" max="2052" width="13.28515625" style="108" customWidth="1"/>
    <col min="2053" max="2054" width="13.42578125" style="108" customWidth="1"/>
    <col min="2055" max="2056" width="13.28515625" style="108" customWidth="1"/>
    <col min="2057" max="2057" width="12.85546875" style="108" customWidth="1"/>
    <col min="2058" max="2059" width="12.5703125" style="108" customWidth="1"/>
    <col min="2060" max="2060" width="12.7109375" style="108" customWidth="1"/>
    <col min="2061" max="2061" width="0.42578125" style="108" customWidth="1"/>
    <col min="2062" max="2062" width="14.28515625" style="108" customWidth="1"/>
    <col min="2063" max="2303" width="11.42578125" style="108"/>
    <col min="2304" max="2304" width="35.7109375" style="108" customWidth="1"/>
    <col min="2305" max="2308" width="13.28515625" style="108" customWidth="1"/>
    <col min="2309" max="2310" width="13.42578125" style="108" customWidth="1"/>
    <col min="2311" max="2312" width="13.28515625" style="108" customWidth="1"/>
    <col min="2313" max="2313" width="12.85546875" style="108" customWidth="1"/>
    <col min="2314" max="2315" width="12.5703125" style="108" customWidth="1"/>
    <col min="2316" max="2316" width="12.7109375" style="108" customWidth="1"/>
    <col min="2317" max="2317" width="0.42578125" style="108" customWidth="1"/>
    <col min="2318" max="2318" width="14.28515625" style="108" customWidth="1"/>
    <col min="2319" max="2559" width="11.42578125" style="108"/>
    <col min="2560" max="2560" width="35.7109375" style="108" customWidth="1"/>
    <col min="2561" max="2564" width="13.28515625" style="108" customWidth="1"/>
    <col min="2565" max="2566" width="13.42578125" style="108" customWidth="1"/>
    <col min="2567" max="2568" width="13.28515625" style="108" customWidth="1"/>
    <col min="2569" max="2569" width="12.85546875" style="108" customWidth="1"/>
    <col min="2570" max="2571" width="12.5703125" style="108" customWidth="1"/>
    <col min="2572" max="2572" width="12.7109375" style="108" customWidth="1"/>
    <col min="2573" max="2573" width="0.42578125" style="108" customWidth="1"/>
    <col min="2574" max="2574" width="14.28515625" style="108" customWidth="1"/>
    <col min="2575" max="2815" width="11.42578125" style="108"/>
    <col min="2816" max="2816" width="35.7109375" style="108" customWidth="1"/>
    <col min="2817" max="2820" width="13.28515625" style="108" customWidth="1"/>
    <col min="2821" max="2822" width="13.42578125" style="108" customWidth="1"/>
    <col min="2823" max="2824" width="13.28515625" style="108" customWidth="1"/>
    <col min="2825" max="2825" width="12.85546875" style="108" customWidth="1"/>
    <col min="2826" max="2827" width="12.5703125" style="108" customWidth="1"/>
    <col min="2828" max="2828" width="12.7109375" style="108" customWidth="1"/>
    <col min="2829" max="2829" width="0.42578125" style="108" customWidth="1"/>
    <col min="2830" max="2830" width="14.28515625" style="108" customWidth="1"/>
    <col min="2831" max="3071" width="11.42578125" style="108"/>
    <col min="3072" max="3072" width="35.7109375" style="108" customWidth="1"/>
    <col min="3073" max="3076" width="13.28515625" style="108" customWidth="1"/>
    <col min="3077" max="3078" width="13.42578125" style="108" customWidth="1"/>
    <col min="3079" max="3080" width="13.28515625" style="108" customWidth="1"/>
    <col min="3081" max="3081" width="12.85546875" style="108" customWidth="1"/>
    <col min="3082" max="3083" width="12.5703125" style="108" customWidth="1"/>
    <col min="3084" max="3084" width="12.7109375" style="108" customWidth="1"/>
    <col min="3085" max="3085" width="0.42578125" style="108" customWidth="1"/>
    <col min="3086" max="3086" width="14.28515625" style="108" customWidth="1"/>
    <col min="3087" max="3327" width="11.42578125" style="108"/>
    <col min="3328" max="3328" width="35.7109375" style="108" customWidth="1"/>
    <col min="3329" max="3332" width="13.28515625" style="108" customWidth="1"/>
    <col min="3333" max="3334" width="13.42578125" style="108" customWidth="1"/>
    <col min="3335" max="3336" width="13.28515625" style="108" customWidth="1"/>
    <col min="3337" max="3337" width="12.85546875" style="108" customWidth="1"/>
    <col min="3338" max="3339" width="12.5703125" style="108" customWidth="1"/>
    <col min="3340" max="3340" width="12.7109375" style="108" customWidth="1"/>
    <col min="3341" max="3341" width="0.42578125" style="108" customWidth="1"/>
    <col min="3342" max="3342" width="14.28515625" style="108" customWidth="1"/>
    <col min="3343" max="3583" width="11.42578125" style="108"/>
    <col min="3584" max="3584" width="35.7109375" style="108" customWidth="1"/>
    <col min="3585" max="3588" width="13.28515625" style="108" customWidth="1"/>
    <col min="3589" max="3590" width="13.42578125" style="108" customWidth="1"/>
    <col min="3591" max="3592" width="13.28515625" style="108" customWidth="1"/>
    <col min="3593" max="3593" width="12.85546875" style="108" customWidth="1"/>
    <col min="3594" max="3595" width="12.5703125" style="108" customWidth="1"/>
    <col min="3596" max="3596" width="12.7109375" style="108" customWidth="1"/>
    <col min="3597" max="3597" width="0.42578125" style="108" customWidth="1"/>
    <col min="3598" max="3598" width="14.28515625" style="108" customWidth="1"/>
    <col min="3599" max="3839" width="11.42578125" style="108"/>
    <col min="3840" max="3840" width="35.7109375" style="108" customWidth="1"/>
    <col min="3841" max="3844" width="13.28515625" style="108" customWidth="1"/>
    <col min="3845" max="3846" width="13.42578125" style="108" customWidth="1"/>
    <col min="3847" max="3848" width="13.28515625" style="108" customWidth="1"/>
    <col min="3849" max="3849" width="12.85546875" style="108" customWidth="1"/>
    <col min="3850" max="3851" width="12.5703125" style="108" customWidth="1"/>
    <col min="3852" max="3852" width="12.7109375" style="108" customWidth="1"/>
    <col min="3853" max="3853" width="0.42578125" style="108" customWidth="1"/>
    <col min="3854" max="3854" width="14.28515625" style="108" customWidth="1"/>
    <col min="3855" max="4095" width="11.42578125" style="108"/>
    <col min="4096" max="4096" width="35.7109375" style="108" customWidth="1"/>
    <col min="4097" max="4100" width="13.28515625" style="108" customWidth="1"/>
    <col min="4101" max="4102" width="13.42578125" style="108" customWidth="1"/>
    <col min="4103" max="4104" width="13.28515625" style="108" customWidth="1"/>
    <col min="4105" max="4105" width="12.85546875" style="108" customWidth="1"/>
    <col min="4106" max="4107" width="12.5703125" style="108" customWidth="1"/>
    <col min="4108" max="4108" width="12.7109375" style="108" customWidth="1"/>
    <col min="4109" max="4109" width="0.42578125" style="108" customWidth="1"/>
    <col min="4110" max="4110" width="14.28515625" style="108" customWidth="1"/>
    <col min="4111" max="4351" width="11.42578125" style="108"/>
    <col min="4352" max="4352" width="35.7109375" style="108" customWidth="1"/>
    <col min="4353" max="4356" width="13.28515625" style="108" customWidth="1"/>
    <col min="4357" max="4358" width="13.42578125" style="108" customWidth="1"/>
    <col min="4359" max="4360" width="13.28515625" style="108" customWidth="1"/>
    <col min="4361" max="4361" width="12.85546875" style="108" customWidth="1"/>
    <col min="4362" max="4363" width="12.5703125" style="108" customWidth="1"/>
    <col min="4364" max="4364" width="12.7109375" style="108" customWidth="1"/>
    <col min="4365" max="4365" width="0.42578125" style="108" customWidth="1"/>
    <col min="4366" max="4366" width="14.28515625" style="108" customWidth="1"/>
    <col min="4367" max="4607" width="11.42578125" style="108"/>
    <col min="4608" max="4608" width="35.7109375" style="108" customWidth="1"/>
    <col min="4609" max="4612" width="13.28515625" style="108" customWidth="1"/>
    <col min="4613" max="4614" width="13.42578125" style="108" customWidth="1"/>
    <col min="4615" max="4616" width="13.28515625" style="108" customWidth="1"/>
    <col min="4617" max="4617" width="12.85546875" style="108" customWidth="1"/>
    <col min="4618" max="4619" width="12.5703125" style="108" customWidth="1"/>
    <col min="4620" max="4620" width="12.7109375" style="108" customWidth="1"/>
    <col min="4621" max="4621" width="0.42578125" style="108" customWidth="1"/>
    <col min="4622" max="4622" width="14.28515625" style="108" customWidth="1"/>
    <col min="4623" max="4863" width="11.42578125" style="108"/>
    <col min="4864" max="4864" width="35.7109375" style="108" customWidth="1"/>
    <col min="4865" max="4868" width="13.28515625" style="108" customWidth="1"/>
    <col min="4869" max="4870" width="13.42578125" style="108" customWidth="1"/>
    <col min="4871" max="4872" width="13.28515625" style="108" customWidth="1"/>
    <col min="4873" max="4873" width="12.85546875" style="108" customWidth="1"/>
    <col min="4874" max="4875" width="12.5703125" style="108" customWidth="1"/>
    <col min="4876" max="4876" width="12.7109375" style="108" customWidth="1"/>
    <col min="4877" max="4877" width="0.42578125" style="108" customWidth="1"/>
    <col min="4878" max="4878" width="14.28515625" style="108" customWidth="1"/>
    <col min="4879" max="5119" width="11.42578125" style="108"/>
    <col min="5120" max="5120" width="35.7109375" style="108" customWidth="1"/>
    <col min="5121" max="5124" width="13.28515625" style="108" customWidth="1"/>
    <col min="5125" max="5126" width="13.42578125" style="108" customWidth="1"/>
    <col min="5127" max="5128" width="13.28515625" style="108" customWidth="1"/>
    <col min="5129" max="5129" width="12.85546875" style="108" customWidth="1"/>
    <col min="5130" max="5131" width="12.5703125" style="108" customWidth="1"/>
    <col min="5132" max="5132" width="12.7109375" style="108" customWidth="1"/>
    <col min="5133" max="5133" width="0.42578125" style="108" customWidth="1"/>
    <col min="5134" max="5134" width="14.28515625" style="108" customWidth="1"/>
    <col min="5135" max="5375" width="11.42578125" style="108"/>
    <col min="5376" max="5376" width="35.7109375" style="108" customWidth="1"/>
    <col min="5377" max="5380" width="13.28515625" style="108" customWidth="1"/>
    <col min="5381" max="5382" width="13.42578125" style="108" customWidth="1"/>
    <col min="5383" max="5384" width="13.28515625" style="108" customWidth="1"/>
    <col min="5385" max="5385" width="12.85546875" style="108" customWidth="1"/>
    <col min="5386" max="5387" width="12.5703125" style="108" customWidth="1"/>
    <col min="5388" max="5388" width="12.7109375" style="108" customWidth="1"/>
    <col min="5389" max="5389" width="0.42578125" style="108" customWidth="1"/>
    <col min="5390" max="5390" width="14.28515625" style="108" customWidth="1"/>
    <col min="5391" max="5631" width="11.42578125" style="108"/>
    <col min="5632" max="5632" width="35.7109375" style="108" customWidth="1"/>
    <col min="5633" max="5636" width="13.28515625" style="108" customWidth="1"/>
    <col min="5637" max="5638" width="13.42578125" style="108" customWidth="1"/>
    <col min="5639" max="5640" width="13.28515625" style="108" customWidth="1"/>
    <col min="5641" max="5641" width="12.85546875" style="108" customWidth="1"/>
    <col min="5642" max="5643" width="12.5703125" style="108" customWidth="1"/>
    <col min="5644" max="5644" width="12.7109375" style="108" customWidth="1"/>
    <col min="5645" max="5645" width="0.42578125" style="108" customWidth="1"/>
    <col min="5646" max="5646" width="14.28515625" style="108" customWidth="1"/>
    <col min="5647" max="5887" width="11.42578125" style="108"/>
    <col min="5888" max="5888" width="35.7109375" style="108" customWidth="1"/>
    <col min="5889" max="5892" width="13.28515625" style="108" customWidth="1"/>
    <col min="5893" max="5894" width="13.42578125" style="108" customWidth="1"/>
    <col min="5895" max="5896" width="13.28515625" style="108" customWidth="1"/>
    <col min="5897" max="5897" width="12.85546875" style="108" customWidth="1"/>
    <col min="5898" max="5899" width="12.5703125" style="108" customWidth="1"/>
    <col min="5900" max="5900" width="12.7109375" style="108" customWidth="1"/>
    <col min="5901" max="5901" width="0.42578125" style="108" customWidth="1"/>
    <col min="5902" max="5902" width="14.28515625" style="108" customWidth="1"/>
    <col min="5903" max="6143" width="11.42578125" style="108"/>
    <col min="6144" max="6144" width="35.7109375" style="108" customWidth="1"/>
    <col min="6145" max="6148" width="13.28515625" style="108" customWidth="1"/>
    <col min="6149" max="6150" width="13.42578125" style="108" customWidth="1"/>
    <col min="6151" max="6152" width="13.28515625" style="108" customWidth="1"/>
    <col min="6153" max="6153" width="12.85546875" style="108" customWidth="1"/>
    <col min="6154" max="6155" width="12.5703125" style="108" customWidth="1"/>
    <col min="6156" max="6156" width="12.7109375" style="108" customWidth="1"/>
    <col min="6157" max="6157" width="0.42578125" style="108" customWidth="1"/>
    <col min="6158" max="6158" width="14.28515625" style="108" customWidth="1"/>
    <col min="6159" max="6399" width="11.42578125" style="108"/>
    <col min="6400" max="6400" width="35.7109375" style="108" customWidth="1"/>
    <col min="6401" max="6404" width="13.28515625" style="108" customWidth="1"/>
    <col min="6405" max="6406" width="13.42578125" style="108" customWidth="1"/>
    <col min="6407" max="6408" width="13.28515625" style="108" customWidth="1"/>
    <col min="6409" max="6409" width="12.85546875" style="108" customWidth="1"/>
    <col min="6410" max="6411" width="12.5703125" style="108" customWidth="1"/>
    <col min="6412" max="6412" width="12.7109375" style="108" customWidth="1"/>
    <col min="6413" max="6413" width="0.42578125" style="108" customWidth="1"/>
    <col min="6414" max="6414" width="14.28515625" style="108" customWidth="1"/>
    <col min="6415" max="6655" width="11.42578125" style="108"/>
    <col min="6656" max="6656" width="35.7109375" style="108" customWidth="1"/>
    <col min="6657" max="6660" width="13.28515625" style="108" customWidth="1"/>
    <col min="6661" max="6662" width="13.42578125" style="108" customWidth="1"/>
    <col min="6663" max="6664" width="13.28515625" style="108" customWidth="1"/>
    <col min="6665" max="6665" width="12.85546875" style="108" customWidth="1"/>
    <col min="6666" max="6667" width="12.5703125" style="108" customWidth="1"/>
    <col min="6668" max="6668" width="12.7109375" style="108" customWidth="1"/>
    <col min="6669" max="6669" width="0.42578125" style="108" customWidth="1"/>
    <col min="6670" max="6670" width="14.28515625" style="108" customWidth="1"/>
    <col min="6671" max="6911" width="11.42578125" style="108"/>
    <col min="6912" max="6912" width="35.7109375" style="108" customWidth="1"/>
    <col min="6913" max="6916" width="13.28515625" style="108" customWidth="1"/>
    <col min="6917" max="6918" width="13.42578125" style="108" customWidth="1"/>
    <col min="6919" max="6920" width="13.28515625" style="108" customWidth="1"/>
    <col min="6921" max="6921" width="12.85546875" style="108" customWidth="1"/>
    <col min="6922" max="6923" width="12.5703125" style="108" customWidth="1"/>
    <col min="6924" max="6924" width="12.7109375" style="108" customWidth="1"/>
    <col min="6925" max="6925" width="0.42578125" style="108" customWidth="1"/>
    <col min="6926" max="6926" width="14.28515625" style="108" customWidth="1"/>
    <col min="6927" max="7167" width="11.42578125" style="108"/>
    <col min="7168" max="7168" width="35.7109375" style="108" customWidth="1"/>
    <col min="7169" max="7172" width="13.28515625" style="108" customWidth="1"/>
    <col min="7173" max="7174" width="13.42578125" style="108" customWidth="1"/>
    <col min="7175" max="7176" width="13.28515625" style="108" customWidth="1"/>
    <col min="7177" max="7177" width="12.85546875" style="108" customWidth="1"/>
    <col min="7178" max="7179" width="12.5703125" style="108" customWidth="1"/>
    <col min="7180" max="7180" width="12.7109375" style="108" customWidth="1"/>
    <col min="7181" max="7181" width="0.42578125" style="108" customWidth="1"/>
    <col min="7182" max="7182" width="14.28515625" style="108" customWidth="1"/>
    <col min="7183" max="7423" width="11.42578125" style="108"/>
    <col min="7424" max="7424" width="35.7109375" style="108" customWidth="1"/>
    <col min="7425" max="7428" width="13.28515625" style="108" customWidth="1"/>
    <col min="7429" max="7430" width="13.42578125" style="108" customWidth="1"/>
    <col min="7431" max="7432" width="13.28515625" style="108" customWidth="1"/>
    <col min="7433" max="7433" width="12.85546875" style="108" customWidth="1"/>
    <col min="7434" max="7435" width="12.5703125" style="108" customWidth="1"/>
    <col min="7436" max="7436" width="12.7109375" style="108" customWidth="1"/>
    <col min="7437" max="7437" width="0.42578125" style="108" customWidth="1"/>
    <col min="7438" max="7438" width="14.28515625" style="108" customWidth="1"/>
    <col min="7439" max="7679" width="11.42578125" style="108"/>
    <col min="7680" max="7680" width="35.7109375" style="108" customWidth="1"/>
    <col min="7681" max="7684" width="13.28515625" style="108" customWidth="1"/>
    <col min="7685" max="7686" width="13.42578125" style="108" customWidth="1"/>
    <col min="7687" max="7688" width="13.28515625" style="108" customWidth="1"/>
    <col min="7689" max="7689" width="12.85546875" style="108" customWidth="1"/>
    <col min="7690" max="7691" width="12.5703125" style="108" customWidth="1"/>
    <col min="7692" max="7692" width="12.7109375" style="108" customWidth="1"/>
    <col min="7693" max="7693" width="0.42578125" style="108" customWidth="1"/>
    <col min="7694" max="7694" width="14.28515625" style="108" customWidth="1"/>
    <col min="7695" max="7935" width="11.42578125" style="108"/>
    <col min="7936" max="7936" width="35.7109375" style="108" customWidth="1"/>
    <col min="7937" max="7940" width="13.28515625" style="108" customWidth="1"/>
    <col min="7941" max="7942" width="13.42578125" style="108" customWidth="1"/>
    <col min="7943" max="7944" width="13.28515625" style="108" customWidth="1"/>
    <col min="7945" max="7945" width="12.85546875" style="108" customWidth="1"/>
    <col min="7946" max="7947" width="12.5703125" style="108" customWidth="1"/>
    <col min="7948" max="7948" width="12.7109375" style="108" customWidth="1"/>
    <col min="7949" max="7949" width="0.42578125" style="108" customWidth="1"/>
    <col min="7950" max="7950" width="14.28515625" style="108" customWidth="1"/>
    <col min="7951" max="8191" width="11.42578125" style="108"/>
    <col min="8192" max="8192" width="35.7109375" style="108" customWidth="1"/>
    <col min="8193" max="8196" width="13.28515625" style="108" customWidth="1"/>
    <col min="8197" max="8198" width="13.42578125" style="108" customWidth="1"/>
    <col min="8199" max="8200" width="13.28515625" style="108" customWidth="1"/>
    <col min="8201" max="8201" width="12.85546875" style="108" customWidth="1"/>
    <col min="8202" max="8203" width="12.5703125" style="108" customWidth="1"/>
    <col min="8204" max="8204" width="12.7109375" style="108" customWidth="1"/>
    <col min="8205" max="8205" width="0.42578125" style="108" customWidth="1"/>
    <col min="8206" max="8206" width="14.28515625" style="108" customWidth="1"/>
    <col min="8207" max="8447" width="11.42578125" style="108"/>
    <col min="8448" max="8448" width="35.7109375" style="108" customWidth="1"/>
    <col min="8449" max="8452" width="13.28515625" style="108" customWidth="1"/>
    <col min="8453" max="8454" width="13.42578125" style="108" customWidth="1"/>
    <col min="8455" max="8456" width="13.28515625" style="108" customWidth="1"/>
    <col min="8457" max="8457" width="12.85546875" style="108" customWidth="1"/>
    <col min="8458" max="8459" width="12.5703125" style="108" customWidth="1"/>
    <col min="8460" max="8460" width="12.7109375" style="108" customWidth="1"/>
    <col min="8461" max="8461" width="0.42578125" style="108" customWidth="1"/>
    <col min="8462" max="8462" width="14.28515625" style="108" customWidth="1"/>
    <col min="8463" max="8703" width="11.42578125" style="108"/>
    <col min="8704" max="8704" width="35.7109375" style="108" customWidth="1"/>
    <col min="8705" max="8708" width="13.28515625" style="108" customWidth="1"/>
    <col min="8709" max="8710" width="13.42578125" style="108" customWidth="1"/>
    <col min="8711" max="8712" width="13.28515625" style="108" customWidth="1"/>
    <col min="8713" max="8713" width="12.85546875" style="108" customWidth="1"/>
    <col min="8714" max="8715" width="12.5703125" style="108" customWidth="1"/>
    <col min="8716" max="8716" width="12.7109375" style="108" customWidth="1"/>
    <col min="8717" max="8717" width="0.42578125" style="108" customWidth="1"/>
    <col min="8718" max="8718" width="14.28515625" style="108" customWidth="1"/>
    <col min="8719" max="8959" width="11.42578125" style="108"/>
    <col min="8960" max="8960" width="35.7109375" style="108" customWidth="1"/>
    <col min="8961" max="8964" width="13.28515625" style="108" customWidth="1"/>
    <col min="8965" max="8966" width="13.42578125" style="108" customWidth="1"/>
    <col min="8967" max="8968" width="13.28515625" style="108" customWidth="1"/>
    <col min="8969" max="8969" width="12.85546875" style="108" customWidth="1"/>
    <col min="8970" max="8971" width="12.5703125" style="108" customWidth="1"/>
    <col min="8972" max="8972" width="12.7109375" style="108" customWidth="1"/>
    <col min="8973" max="8973" width="0.42578125" style="108" customWidth="1"/>
    <col min="8974" max="8974" width="14.28515625" style="108" customWidth="1"/>
    <col min="8975" max="9215" width="11.42578125" style="108"/>
    <col min="9216" max="9216" width="35.7109375" style="108" customWidth="1"/>
    <col min="9217" max="9220" width="13.28515625" style="108" customWidth="1"/>
    <col min="9221" max="9222" width="13.42578125" style="108" customWidth="1"/>
    <col min="9223" max="9224" width="13.28515625" style="108" customWidth="1"/>
    <col min="9225" max="9225" width="12.85546875" style="108" customWidth="1"/>
    <col min="9226" max="9227" width="12.5703125" style="108" customWidth="1"/>
    <col min="9228" max="9228" width="12.7109375" style="108" customWidth="1"/>
    <col min="9229" max="9229" width="0.42578125" style="108" customWidth="1"/>
    <col min="9230" max="9230" width="14.28515625" style="108" customWidth="1"/>
    <col min="9231" max="9471" width="11.42578125" style="108"/>
    <col min="9472" max="9472" width="35.7109375" style="108" customWidth="1"/>
    <col min="9473" max="9476" width="13.28515625" style="108" customWidth="1"/>
    <col min="9477" max="9478" width="13.42578125" style="108" customWidth="1"/>
    <col min="9479" max="9480" width="13.28515625" style="108" customWidth="1"/>
    <col min="9481" max="9481" width="12.85546875" style="108" customWidth="1"/>
    <col min="9482" max="9483" width="12.5703125" style="108" customWidth="1"/>
    <col min="9484" max="9484" width="12.7109375" style="108" customWidth="1"/>
    <col min="9485" max="9485" width="0.42578125" style="108" customWidth="1"/>
    <col min="9486" max="9486" width="14.28515625" style="108" customWidth="1"/>
    <col min="9487" max="9727" width="11.42578125" style="108"/>
    <col min="9728" max="9728" width="35.7109375" style="108" customWidth="1"/>
    <col min="9729" max="9732" width="13.28515625" style="108" customWidth="1"/>
    <col min="9733" max="9734" width="13.42578125" style="108" customWidth="1"/>
    <col min="9735" max="9736" width="13.28515625" style="108" customWidth="1"/>
    <col min="9737" max="9737" width="12.85546875" style="108" customWidth="1"/>
    <col min="9738" max="9739" width="12.5703125" style="108" customWidth="1"/>
    <col min="9740" max="9740" width="12.7109375" style="108" customWidth="1"/>
    <col min="9741" max="9741" width="0.42578125" style="108" customWidth="1"/>
    <col min="9742" max="9742" width="14.28515625" style="108" customWidth="1"/>
    <col min="9743" max="9983" width="11.42578125" style="108"/>
    <col min="9984" max="9984" width="35.7109375" style="108" customWidth="1"/>
    <col min="9985" max="9988" width="13.28515625" style="108" customWidth="1"/>
    <col min="9989" max="9990" width="13.42578125" style="108" customWidth="1"/>
    <col min="9991" max="9992" width="13.28515625" style="108" customWidth="1"/>
    <col min="9993" max="9993" width="12.85546875" style="108" customWidth="1"/>
    <col min="9994" max="9995" width="12.5703125" style="108" customWidth="1"/>
    <col min="9996" max="9996" width="12.7109375" style="108" customWidth="1"/>
    <col min="9997" max="9997" width="0.42578125" style="108" customWidth="1"/>
    <col min="9998" max="9998" width="14.28515625" style="108" customWidth="1"/>
    <col min="9999" max="10239" width="11.42578125" style="108"/>
    <col min="10240" max="10240" width="35.7109375" style="108" customWidth="1"/>
    <col min="10241" max="10244" width="13.28515625" style="108" customWidth="1"/>
    <col min="10245" max="10246" width="13.42578125" style="108" customWidth="1"/>
    <col min="10247" max="10248" width="13.28515625" style="108" customWidth="1"/>
    <col min="10249" max="10249" width="12.85546875" style="108" customWidth="1"/>
    <col min="10250" max="10251" width="12.5703125" style="108" customWidth="1"/>
    <col min="10252" max="10252" width="12.7109375" style="108" customWidth="1"/>
    <col min="10253" max="10253" width="0.42578125" style="108" customWidth="1"/>
    <col min="10254" max="10254" width="14.28515625" style="108" customWidth="1"/>
    <col min="10255" max="10495" width="11.42578125" style="108"/>
    <col min="10496" max="10496" width="35.7109375" style="108" customWidth="1"/>
    <col min="10497" max="10500" width="13.28515625" style="108" customWidth="1"/>
    <col min="10501" max="10502" width="13.42578125" style="108" customWidth="1"/>
    <col min="10503" max="10504" width="13.28515625" style="108" customWidth="1"/>
    <col min="10505" max="10505" width="12.85546875" style="108" customWidth="1"/>
    <col min="10506" max="10507" width="12.5703125" style="108" customWidth="1"/>
    <col min="10508" max="10508" width="12.7109375" style="108" customWidth="1"/>
    <col min="10509" max="10509" width="0.42578125" style="108" customWidth="1"/>
    <col min="10510" max="10510" width="14.28515625" style="108" customWidth="1"/>
    <col min="10511" max="10751" width="11.42578125" style="108"/>
    <col min="10752" max="10752" width="35.7109375" style="108" customWidth="1"/>
    <col min="10753" max="10756" width="13.28515625" style="108" customWidth="1"/>
    <col min="10757" max="10758" width="13.42578125" style="108" customWidth="1"/>
    <col min="10759" max="10760" width="13.28515625" style="108" customWidth="1"/>
    <col min="10761" max="10761" width="12.85546875" style="108" customWidth="1"/>
    <col min="10762" max="10763" width="12.5703125" style="108" customWidth="1"/>
    <col min="10764" max="10764" width="12.7109375" style="108" customWidth="1"/>
    <col min="10765" max="10765" width="0.42578125" style="108" customWidth="1"/>
    <col min="10766" max="10766" width="14.28515625" style="108" customWidth="1"/>
    <col min="10767" max="11007" width="11.42578125" style="108"/>
    <col min="11008" max="11008" width="35.7109375" style="108" customWidth="1"/>
    <col min="11009" max="11012" width="13.28515625" style="108" customWidth="1"/>
    <col min="11013" max="11014" width="13.42578125" style="108" customWidth="1"/>
    <col min="11015" max="11016" width="13.28515625" style="108" customWidth="1"/>
    <col min="11017" max="11017" width="12.85546875" style="108" customWidth="1"/>
    <col min="11018" max="11019" width="12.5703125" style="108" customWidth="1"/>
    <col min="11020" max="11020" width="12.7109375" style="108" customWidth="1"/>
    <col min="11021" max="11021" width="0.42578125" style="108" customWidth="1"/>
    <col min="11022" max="11022" width="14.28515625" style="108" customWidth="1"/>
    <col min="11023" max="11263" width="11.42578125" style="108"/>
    <col min="11264" max="11264" width="35.7109375" style="108" customWidth="1"/>
    <col min="11265" max="11268" width="13.28515625" style="108" customWidth="1"/>
    <col min="11269" max="11270" width="13.42578125" style="108" customWidth="1"/>
    <col min="11271" max="11272" width="13.28515625" style="108" customWidth="1"/>
    <col min="11273" max="11273" width="12.85546875" style="108" customWidth="1"/>
    <col min="11274" max="11275" width="12.5703125" style="108" customWidth="1"/>
    <col min="11276" max="11276" width="12.7109375" style="108" customWidth="1"/>
    <col min="11277" max="11277" width="0.42578125" style="108" customWidth="1"/>
    <col min="11278" max="11278" width="14.28515625" style="108" customWidth="1"/>
    <col min="11279" max="11519" width="11.42578125" style="108"/>
    <col min="11520" max="11520" width="35.7109375" style="108" customWidth="1"/>
    <col min="11521" max="11524" width="13.28515625" style="108" customWidth="1"/>
    <col min="11525" max="11526" width="13.42578125" style="108" customWidth="1"/>
    <col min="11527" max="11528" width="13.28515625" style="108" customWidth="1"/>
    <col min="11529" max="11529" width="12.85546875" style="108" customWidth="1"/>
    <col min="11530" max="11531" width="12.5703125" style="108" customWidth="1"/>
    <col min="11532" max="11532" width="12.7109375" style="108" customWidth="1"/>
    <col min="11533" max="11533" width="0.42578125" style="108" customWidth="1"/>
    <col min="11534" max="11534" width="14.28515625" style="108" customWidth="1"/>
    <col min="11535" max="11775" width="11.42578125" style="108"/>
    <col min="11776" max="11776" width="35.7109375" style="108" customWidth="1"/>
    <col min="11777" max="11780" width="13.28515625" style="108" customWidth="1"/>
    <col min="11781" max="11782" width="13.42578125" style="108" customWidth="1"/>
    <col min="11783" max="11784" width="13.28515625" style="108" customWidth="1"/>
    <col min="11785" max="11785" width="12.85546875" style="108" customWidth="1"/>
    <col min="11786" max="11787" width="12.5703125" style="108" customWidth="1"/>
    <col min="11788" max="11788" width="12.7109375" style="108" customWidth="1"/>
    <col min="11789" max="11789" width="0.42578125" style="108" customWidth="1"/>
    <col min="11790" max="11790" width="14.28515625" style="108" customWidth="1"/>
    <col min="11791" max="12031" width="11.42578125" style="108"/>
    <col min="12032" max="12032" width="35.7109375" style="108" customWidth="1"/>
    <col min="12033" max="12036" width="13.28515625" style="108" customWidth="1"/>
    <col min="12037" max="12038" width="13.42578125" style="108" customWidth="1"/>
    <col min="12039" max="12040" width="13.28515625" style="108" customWidth="1"/>
    <col min="12041" max="12041" width="12.85546875" style="108" customWidth="1"/>
    <col min="12042" max="12043" width="12.5703125" style="108" customWidth="1"/>
    <col min="12044" max="12044" width="12.7109375" style="108" customWidth="1"/>
    <col min="12045" max="12045" width="0.42578125" style="108" customWidth="1"/>
    <col min="12046" max="12046" width="14.28515625" style="108" customWidth="1"/>
    <col min="12047" max="12287" width="11.42578125" style="108"/>
    <col min="12288" max="12288" width="35.7109375" style="108" customWidth="1"/>
    <col min="12289" max="12292" width="13.28515625" style="108" customWidth="1"/>
    <col min="12293" max="12294" width="13.42578125" style="108" customWidth="1"/>
    <col min="12295" max="12296" width="13.28515625" style="108" customWidth="1"/>
    <col min="12297" max="12297" width="12.85546875" style="108" customWidth="1"/>
    <col min="12298" max="12299" width="12.5703125" style="108" customWidth="1"/>
    <col min="12300" max="12300" width="12.7109375" style="108" customWidth="1"/>
    <col min="12301" max="12301" width="0.42578125" style="108" customWidth="1"/>
    <col min="12302" max="12302" width="14.28515625" style="108" customWidth="1"/>
    <col min="12303" max="12543" width="11.42578125" style="108"/>
    <col min="12544" max="12544" width="35.7109375" style="108" customWidth="1"/>
    <col min="12545" max="12548" width="13.28515625" style="108" customWidth="1"/>
    <col min="12549" max="12550" width="13.42578125" style="108" customWidth="1"/>
    <col min="12551" max="12552" width="13.28515625" style="108" customWidth="1"/>
    <col min="12553" max="12553" width="12.85546875" style="108" customWidth="1"/>
    <col min="12554" max="12555" width="12.5703125" style="108" customWidth="1"/>
    <col min="12556" max="12556" width="12.7109375" style="108" customWidth="1"/>
    <col min="12557" max="12557" width="0.42578125" style="108" customWidth="1"/>
    <col min="12558" max="12558" width="14.28515625" style="108" customWidth="1"/>
    <col min="12559" max="12799" width="11.42578125" style="108"/>
    <col min="12800" max="12800" width="35.7109375" style="108" customWidth="1"/>
    <col min="12801" max="12804" width="13.28515625" style="108" customWidth="1"/>
    <col min="12805" max="12806" width="13.42578125" style="108" customWidth="1"/>
    <col min="12807" max="12808" width="13.28515625" style="108" customWidth="1"/>
    <col min="12809" max="12809" width="12.85546875" style="108" customWidth="1"/>
    <col min="12810" max="12811" width="12.5703125" style="108" customWidth="1"/>
    <col min="12812" max="12812" width="12.7109375" style="108" customWidth="1"/>
    <col min="12813" max="12813" width="0.42578125" style="108" customWidth="1"/>
    <col min="12814" max="12814" width="14.28515625" style="108" customWidth="1"/>
    <col min="12815" max="13055" width="11.42578125" style="108"/>
    <col min="13056" max="13056" width="35.7109375" style="108" customWidth="1"/>
    <col min="13057" max="13060" width="13.28515625" style="108" customWidth="1"/>
    <col min="13061" max="13062" width="13.42578125" style="108" customWidth="1"/>
    <col min="13063" max="13064" width="13.28515625" style="108" customWidth="1"/>
    <col min="13065" max="13065" width="12.85546875" style="108" customWidth="1"/>
    <col min="13066" max="13067" width="12.5703125" style="108" customWidth="1"/>
    <col min="13068" max="13068" width="12.7109375" style="108" customWidth="1"/>
    <col min="13069" max="13069" width="0.42578125" style="108" customWidth="1"/>
    <col min="13070" max="13070" width="14.28515625" style="108" customWidth="1"/>
    <col min="13071" max="13311" width="11.42578125" style="108"/>
    <col min="13312" max="13312" width="35.7109375" style="108" customWidth="1"/>
    <col min="13313" max="13316" width="13.28515625" style="108" customWidth="1"/>
    <col min="13317" max="13318" width="13.42578125" style="108" customWidth="1"/>
    <col min="13319" max="13320" width="13.28515625" style="108" customWidth="1"/>
    <col min="13321" max="13321" width="12.85546875" style="108" customWidth="1"/>
    <col min="13322" max="13323" width="12.5703125" style="108" customWidth="1"/>
    <col min="13324" max="13324" width="12.7109375" style="108" customWidth="1"/>
    <col min="13325" max="13325" width="0.42578125" style="108" customWidth="1"/>
    <col min="13326" max="13326" width="14.28515625" style="108" customWidth="1"/>
    <col min="13327" max="13567" width="11.42578125" style="108"/>
    <col min="13568" max="13568" width="35.7109375" style="108" customWidth="1"/>
    <col min="13569" max="13572" width="13.28515625" style="108" customWidth="1"/>
    <col min="13573" max="13574" width="13.42578125" style="108" customWidth="1"/>
    <col min="13575" max="13576" width="13.28515625" style="108" customWidth="1"/>
    <col min="13577" max="13577" width="12.85546875" style="108" customWidth="1"/>
    <col min="13578" max="13579" width="12.5703125" style="108" customWidth="1"/>
    <col min="13580" max="13580" width="12.7109375" style="108" customWidth="1"/>
    <col min="13581" max="13581" width="0.42578125" style="108" customWidth="1"/>
    <col min="13582" max="13582" width="14.28515625" style="108" customWidth="1"/>
    <col min="13583" max="13823" width="11.42578125" style="108"/>
    <col min="13824" max="13824" width="35.7109375" style="108" customWidth="1"/>
    <col min="13825" max="13828" width="13.28515625" style="108" customWidth="1"/>
    <col min="13829" max="13830" width="13.42578125" style="108" customWidth="1"/>
    <col min="13831" max="13832" width="13.28515625" style="108" customWidth="1"/>
    <col min="13833" max="13833" width="12.85546875" style="108" customWidth="1"/>
    <col min="13834" max="13835" width="12.5703125" style="108" customWidth="1"/>
    <col min="13836" max="13836" width="12.7109375" style="108" customWidth="1"/>
    <col min="13837" max="13837" width="0.42578125" style="108" customWidth="1"/>
    <col min="13838" max="13838" width="14.28515625" style="108" customWidth="1"/>
    <col min="13839" max="14079" width="11.42578125" style="108"/>
    <col min="14080" max="14080" width="35.7109375" style="108" customWidth="1"/>
    <col min="14081" max="14084" width="13.28515625" style="108" customWidth="1"/>
    <col min="14085" max="14086" width="13.42578125" style="108" customWidth="1"/>
    <col min="14087" max="14088" width="13.28515625" style="108" customWidth="1"/>
    <col min="14089" max="14089" width="12.85546875" style="108" customWidth="1"/>
    <col min="14090" max="14091" width="12.5703125" style="108" customWidth="1"/>
    <col min="14092" max="14092" width="12.7109375" style="108" customWidth="1"/>
    <col min="14093" max="14093" width="0.42578125" style="108" customWidth="1"/>
    <col min="14094" max="14094" width="14.28515625" style="108" customWidth="1"/>
    <col min="14095" max="14335" width="11.42578125" style="108"/>
    <col min="14336" max="14336" width="35.7109375" style="108" customWidth="1"/>
    <col min="14337" max="14340" width="13.28515625" style="108" customWidth="1"/>
    <col min="14341" max="14342" width="13.42578125" style="108" customWidth="1"/>
    <col min="14343" max="14344" width="13.28515625" style="108" customWidth="1"/>
    <col min="14345" max="14345" width="12.85546875" style="108" customWidth="1"/>
    <col min="14346" max="14347" width="12.5703125" style="108" customWidth="1"/>
    <col min="14348" max="14348" width="12.7109375" style="108" customWidth="1"/>
    <col min="14349" max="14349" width="0.42578125" style="108" customWidth="1"/>
    <col min="14350" max="14350" width="14.28515625" style="108" customWidth="1"/>
    <col min="14351" max="14591" width="11.42578125" style="108"/>
    <col min="14592" max="14592" width="35.7109375" style="108" customWidth="1"/>
    <col min="14593" max="14596" width="13.28515625" style="108" customWidth="1"/>
    <col min="14597" max="14598" width="13.42578125" style="108" customWidth="1"/>
    <col min="14599" max="14600" width="13.28515625" style="108" customWidth="1"/>
    <col min="14601" max="14601" width="12.85546875" style="108" customWidth="1"/>
    <col min="14602" max="14603" width="12.5703125" style="108" customWidth="1"/>
    <col min="14604" max="14604" width="12.7109375" style="108" customWidth="1"/>
    <col min="14605" max="14605" width="0.42578125" style="108" customWidth="1"/>
    <col min="14606" max="14606" width="14.28515625" style="108" customWidth="1"/>
    <col min="14607" max="14847" width="11.42578125" style="108"/>
    <col min="14848" max="14848" width="35.7109375" style="108" customWidth="1"/>
    <col min="14849" max="14852" width="13.28515625" style="108" customWidth="1"/>
    <col min="14853" max="14854" width="13.42578125" style="108" customWidth="1"/>
    <col min="14855" max="14856" width="13.28515625" style="108" customWidth="1"/>
    <col min="14857" max="14857" width="12.85546875" style="108" customWidth="1"/>
    <col min="14858" max="14859" width="12.5703125" style="108" customWidth="1"/>
    <col min="14860" max="14860" width="12.7109375" style="108" customWidth="1"/>
    <col min="14861" max="14861" width="0.42578125" style="108" customWidth="1"/>
    <col min="14862" max="14862" width="14.28515625" style="108" customWidth="1"/>
    <col min="14863" max="15103" width="11.42578125" style="108"/>
    <col min="15104" max="15104" width="35.7109375" style="108" customWidth="1"/>
    <col min="15105" max="15108" width="13.28515625" style="108" customWidth="1"/>
    <col min="15109" max="15110" width="13.42578125" style="108" customWidth="1"/>
    <col min="15111" max="15112" width="13.28515625" style="108" customWidth="1"/>
    <col min="15113" max="15113" width="12.85546875" style="108" customWidth="1"/>
    <col min="15114" max="15115" width="12.5703125" style="108" customWidth="1"/>
    <col min="15116" max="15116" width="12.7109375" style="108" customWidth="1"/>
    <col min="15117" max="15117" width="0.42578125" style="108" customWidth="1"/>
    <col min="15118" max="15118" width="14.28515625" style="108" customWidth="1"/>
    <col min="15119" max="15359" width="11.42578125" style="108"/>
    <col min="15360" max="15360" width="35.7109375" style="108" customWidth="1"/>
    <col min="15361" max="15364" width="13.28515625" style="108" customWidth="1"/>
    <col min="15365" max="15366" width="13.42578125" style="108" customWidth="1"/>
    <col min="15367" max="15368" width="13.28515625" style="108" customWidth="1"/>
    <col min="15369" max="15369" width="12.85546875" style="108" customWidth="1"/>
    <col min="15370" max="15371" width="12.5703125" style="108" customWidth="1"/>
    <col min="15372" max="15372" width="12.7109375" style="108" customWidth="1"/>
    <col min="15373" max="15373" width="0.42578125" style="108" customWidth="1"/>
    <col min="15374" max="15374" width="14.28515625" style="108" customWidth="1"/>
    <col min="15375" max="15615" width="11.42578125" style="108"/>
    <col min="15616" max="15616" width="35.7109375" style="108" customWidth="1"/>
    <col min="15617" max="15620" width="13.28515625" style="108" customWidth="1"/>
    <col min="15621" max="15622" width="13.42578125" style="108" customWidth="1"/>
    <col min="15623" max="15624" width="13.28515625" style="108" customWidth="1"/>
    <col min="15625" max="15625" width="12.85546875" style="108" customWidth="1"/>
    <col min="15626" max="15627" width="12.5703125" style="108" customWidth="1"/>
    <col min="15628" max="15628" width="12.7109375" style="108" customWidth="1"/>
    <col min="15629" max="15629" width="0.42578125" style="108" customWidth="1"/>
    <col min="15630" max="15630" width="14.28515625" style="108" customWidth="1"/>
    <col min="15631" max="15871" width="11.42578125" style="108"/>
    <col min="15872" max="15872" width="35.7109375" style="108" customWidth="1"/>
    <col min="15873" max="15876" width="13.28515625" style="108" customWidth="1"/>
    <col min="15877" max="15878" width="13.42578125" style="108" customWidth="1"/>
    <col min="15879" max="15880" width="13.28515625" style="108" customWidth="1"/>
    <col min="15881" max="15881" width="12.85546875" style="108" customWidth="1"/>
    <col min="15882" max="15883" width="12.5703125" style="108" customWidth="1"/>
    <col min="15884" max="15884" width="12.7109375" style="108" customWidth="1"/>
    <col min="15885" max="15885" width="0.42578125" style="108" customWidth="1"/>
    <col min="15886" max="15886" width="14.28515625" style="108" customWidth="1"/>
    <col min="15887" max="16127" width="11.42578125" style="108"/>
    <col min="16128" max="16128" width="35.7109375" style="108" customWidth="1"/>
    <col min="16129" max="16132" width="13.28515625" style="108" customWidth="1"/>
    <col min="16133" max="16134" width="13.42578125" style="108" customWidth="1"/>
    <col min="16135" max="16136" width="13.28515625" style="108" customWidth="1"/>
    <col min="16137" max="16137" width="12.85546875" style="108" customWidth="1"/>
    <col min="16138" max="16139" width="12.5703125" style="108" customWidth="1"/>
    <col min="16140" max="16140" width="12.7109375" style="108" customWidth="1"/>
    <col min="16141" max="16141" width="0.42578125" style="108" customWidth="1"/>
    <col min="16142" max="16142" width="14.28515625" style="108" customWidth="1"/>
    <col min="16143" max="16384" width="11.42578125" style="108"/>
  </cols>
  <sheetData>
    <row r="2" spans="1:14" s="136" customFormat="1">
      <c r="A2" s="308" t="s">
        <v>416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</row>
    <row r="4" spans="1:14" ht="31.5" customHeight="1">
      <c r="A4" s="3" t="s">
        <v>417</v>
      </c>
      <c r="B4" s="244" t="s">
        <v>418</v>
      </c>
      <c r="C4" s="244" t="s">
        <v>419</v>
      </c>
      <c r="D4" s="244" t="s">
        <v>420</v>
      </c>
      <c r="E4" s="244" t="s">
        <v>421</v>
      </c>
      <c r="F4" s="244" t="s">
        <v>422</v>
      </c>
      <c r="G4" s="244" t="s">
        <v>423</v>
      </c>
      <c r="H4" s="244" t="s">
        <v>424</v>
      </c>
      <c r="I4" s="244" t="s">
        <v>425</v>
      </c>
      <c r="J4" s="244" t="s">
        <v>426</v>
      </c>
      <c r="K4" s="244" t="s">
        <v>427</v>
      </c>
      <c r="L4" s="244" t="s">
        <v>428</v>
      </c>
      <c r="M4" s="244" t="s">
        <v>429</v>
      </c>
      <c r="N4" s="244" t="s">
        <v>430</v>
      </c>
    </row>
    <row r="5" spans="1:14" ht="20.100000000000001" customHeight="1">
      <c r="A5" s="7" t="s">
        <v>352</v>
      </c>
      <c r="B5" s="13">
        <f>'C1'!D19/12</f>
        <v>97.001999999999995</v>
      </c>
      <c r="C5" s="13">
        <f>'C1'!D19/12</f>
        <v>97.001999999999995</v>
      </c>
      <c r="D5" s="13">
        <f>'C1'!D19/12</f>
        <v>97.001999999999995</v>
      </c>
      <c r="E5" s="13">
        <f>'C1'!D19/12</f>
        <v>97.001999999999995</v>
      </c>
      <c r="F5" s="13">
        <f>'C1'!D19/12</f>
        <v>97.001999999999995</v>
      </c>
      <c r="G5" s="13">
        <f>'C1'!D19/12</f>
        <v>97.001999999999995</v>
      </c>
      <c r="H5" s="13">
        <f>'C1'!D19/12</f>
        <v>97.001999999999995</v>
      </c>
      <c r="I5" s="13">
        <f>'C1'!D19/12</f>
        <v>97.001999999999995</v>
      </c>
      <c r="J5" s="13">
        <f>'C1'!D19/12</f>
        <v>97.001999999999995</v>
      </c>
      <c r="K5" s="13">
        <f>'C1'!D19/12</f>
        <v>97.001999999999995</v>
      </c>
      <c r="L5" s="13">
        <f>'C1'!D19/12</f>
        <v>97.001999999999995</v>
      </c>
      <c r="M5" s="13">
        <f>'C1'!D19/12</f>
        <v>97.001999999999995</v>
      </c>
      <c r="N5" s="11">
        <f>'C1'!D19</f>
        <v>1164.0239999999999</v>
      </c>
    </row>
    <row r="6" spans="1:14" ht="20.100000000000001" customHeight="1">
      <c r="A6" s="7" t="s">
        <v>403</v>
      </c>
      <c r="B6" s="8" t="s">
        <v>439</v>
      </c>
      <c r="C6" s="8" t="s">
        <v>439</v>
      </c>
      <c r="D6" s="8" t="s">
        <v>439</v>
      </c>
      <c r="E6" s="8" t="s">
        <v>439</v>
      </c>
      <c r="F6" s="8" t="s">
        <v>439</v>
      </c>
      <c r="G6" s="8" t="s">
        <v>439</v>
      </c>
      <c r="H6" s="8" t="s">
        <v>439</v>
      </c>
      <c r="I6" s="8" t="s">
        <v>439</v>
      </c>
      <c r="J6" s="8" t="s">
        <v>439</v>
      </c>
      <c r="K6" s="8" t="s">
        <v>439</v>
      </c>
      <c r="L6" s="8" t="s">
        <v>439</v>
      </c>
      <c r="M6" s="8" t="s">
        <v>439</v>
      </c>
      <c r="N6" s="8" t="s">
        <v>439</v>
      </c>
    </row>
    <row r="7" spans="1:14" ht="20.100000000000001" customHeight="1">
      <c r="A7" s="9" t="s">
        <v>404</v>
      </c>
      <c r="B7" s="127">
        <f>'C13'!B7</f>
        <v>6185287.4256512458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f>SUM(B7:M7)</f>
        <v>6185287.4256512458</v>
      </c>
    </row>
    <row r="8" spans="1:14" ht="20.100000000000001" customHeight="1">
      <c r="A8" s="9" t="s">
        <v>405</v>
      </c>
      <c r="B8" s="127">
        <f>'C13'!B8</f>
        <v>10330482.352399999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f>SUM(B8:M8)</f>
        <v>10330482.352399999</v>
      </c>
    </row>
    <row r="9" spans="1:14" ht="20.100000000000001" customHeight="1">
      <c r="A9" s="9" t="s">
        <v>406</v>
      </c>
      <c r="B9" s="127">
        <v>0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f>SUM(B9:M9)</f>
        <v>0</v>
      </c>
    </row>
    <row r="10" spans="1:14" ht="20.100000000000001" customHeight="1">
      <c r="A10" s="9" t="s">
        <v>351</v>
      </c>
      <c r="B10" s="127">
        <f>'C13'!B10/12</f>
        <v>533510.99999999988</v>
      </c>
      <c r="C10" s="127">
        <f>'C13'!B10/12</f>
        <v>533510.99999999988</v>
      </c>
      <c r="D10" s="127">
        <f>'C13'!B10/12</f>
        <v>533510.99999999988</v>
      </c>
      <c r="E10" s="127">
        <f>'C13'!B10/12</f>
        <v>533510.99999999988</v>
      </c>
      <c r="F10" s="127">
        <f>'C13'!B10/12</f>
        <v>533510.99999999988</v>
      </c>
      <c r="G10" s="127">
        <f>'C13'!B10/12</f>
        <v>533510.99999999988</v>
      </c>
      <c r="H10" s="127">
        <f>'C13'!B10/12</f>
        <v>533510.99999999988</v>
      </c>
      <c r="I10" s="127">
        <f>'C13'!B10/12</f>
        <v>533510.99999999988</v>
      </c>
      <c r="J10" s="127">
        <f>'C13'!B10/12</f>
        <v>533510.99999999988</v>
      </c>
      <c r="K10" s="127">
        <f>'C13'!B10/12</f>
        <v>533510.99999999988</v>
      </c>
      <c r="L10" s="127">
        <f>'C13'!B10/12</f>
        <v>533510.99999999988</v>
      </c>
      <c r="M10" s="127">
        <f>'C13'!B10/12</f>
        <v>533510.99999999988</v>
      </c>
      <c r="N10" s="127">
        <f>SUM(B10:M10)</f>
        <v>6402131.9999999991</v>
      </c>
    </row>
    <row r="11" spans="1:14" ht="20.100000000000001" customHeight="1">
      <c r="A11" s="9" t="s">
        <v>360</v>
      </c>
      <c r="B11" s="127">
        <f>'C13'!B11/12</f>
        <v>59088.538111965208</v>
      </c>
      <c r="C11" s="127">
        <f>'C13'!B11/12</f>
        <v>59088.538111965208</v>
      </c>
      <c r="D11" s="127">
        <f>'C13'!B11/12</f>
        <v>59088.538111965208</v>
      </c>
      <c r="E11" s="127">
        <f>'C13'!B11/12</f>
        <v>59088.538111965208</v>
      </c>
      <c r="F11" s="127">
        <f>'C13'!B11/12</f>
        <v>59088.538111965208</v>
      </c>
      <c r="G11" s="127">
        <f>'C13'!B11/12</f>
        <v>59088.538111965208</v>
      </c>
      <c r="H11" s="127">
        <f>'C13'!B11/12</f>
        <v>59088.538111965208</v>
      </c>
      <c r="I11" s="127">
        <f>'C13'!B11/12</f>
        <v>59088.538111965208</v>
      </c>
      <c r="J11" s="127">
        <f>'C13'!B11/12</f>
        <v>59088.538111965208</v>
      </c>
      <c r="K11" s="127">
        <f>'C13'!B11/12</f>
        <v>59088.538111965208</v>
      </c>
      <c r="L11" s="127">
        <f>'C13'!B11/12</f>
        <v>59088.538111965208</v>
      </c>
      <c r="M11" s="127">
        <f>'C13'!B11/12</f>
        <v>59088.538111965208</v>
      </c>
      <c r="N11" s="127">
        <f>SUM(B11:M11)</f>
        <v>709062.45734358241</v>
      </c>
    </row>
    <row r="12" spans="1:14" s="110" customFormat="1" ht="20.100000000000001" customHeight="1">
      <c r="A12" s="7" t="s">
        <v>407</v>
      </c>
      <c r="B12" s="131">
        <f>SUM(B7:B11)</f>
        <v>17108369.316163212</v>
      </c>
      <c r="C12" s="131">
        <f t="shared" ref="C12:M12" si="0">SUM(C7:C11)</f>
        <v>592599.53811196506</v>
      </c>
      <c r="D12" s="131">
        <f t="shared" si="0"/>
        <v>592599.53811196506</v>
      </c>
      <c r="E12" s="131">
        <f t="shared" si="0"/>
        <v>592599.53811196506</v>
      </c>
      <c r="F12" s="131">
        <f t="shared" si="0"/>
        <v>592599.53811196506</v>
      </c>
      <c r="G12" s="131">
        <f>SUM(G7:G11)</f>
        <v>592599.53811196506</v>
      </c>
      <c r="H12" s="131">
        <f t="shared" si="0"/>
        <v>592599.53811196506</v>
      </c>
      <c r="I12" s="131">
        <f t="shared" si="0"/>
        <v>592599.53811196506</v>
      </c>
      <c r="J12" s="131">
        <f t="shared" si="0"/>
        <v>592599.53811196506</v>
      </c>
      <c r="K12" s="131">
        <f t="shared" si="0"/>
        <v>592599.53811196506</v>
      </c>
      <c r="L12" s="131">
        <f t="shared" si="0"/>
        <v>592599.53811196506</v>
      </c>
      <c r="M12" s="131">
        <f t="shared" si="0"/>
        <v>592599.53811196506</v>
      </c>
      <c r="N12" s="131">
        <f>SUM(N7:N11)</f>
        <v>23626964.235394828</v>
      </c>
    </row>
    <row r="13" spans="1:14" ht="20.100000000000001" customHeight="1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0.100000000000001" customHeight="1">
      <c r="A14" s="7" t="s">
        <v>408</v>
      </c>
      <c r="B14" s="8" t="s">
        <v>439</v>
      </c>
      <c r="C14" s="8" t="s">
        <v>439</v>
      </c>
      <c r="D14" s="8" t="s">
        <v>439</v>
      </c>
      <c r="E14" s="8" t="s">
        <v>439</v>
      </c>
      <c r="F14" s="8" t="s">
        <v>439</v>
      </c>
      <c r="G14" s="8" t="s">
        <v>439</v>
      </c>
      <c r="H14" s="8" t="s">
        <v>439</v>
      </c>
      <c r="I14" s="8" t="s">
        <v>439</v>
      </c>
      <c r="J14" s="8" t="s">
        <v>439</v>
      </c>
      <c r="K14" s="8" t="s">
        <v>439</v>
      </c>
      <c r="L14" s="8" t="s">
        <v>439</v>
      </c>
      <c r="M14" s="8" t="s">
        <v>439</v>
      </c>
      <c r="N14" s="8" t="s">
        <v>439</v>
      </c>
    </row>
    <row r="15" spans="1:14" ht="20.100000000000001" customHeight="1">
      <c r="A15" s="9" t="s">
        <v>409</v>
      </c>
      <c r="B15" s="127">
        <f>'C3'!E26</f>
        <v>16515769.778051246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f>SUM(B15:M15)</f>
        <v>16515769.778051246</v>
      </c>
    </row>
    <row r="16" spans="1:14" ht="20.100000000000001" customHeight="1">
      <c r="A16" s="9" t="s">
        <v>410</v>
      </c>
      <c r="B16" s="127">
        <f>'C7'!D21/12</f>
        <v>200721.90907017179</v>
      </c>
      <c r="C16" s="127">
        <f>'C7'!D21/12</f>
        <v>200721.90907017179</v>
      </c>
      <c r="D16" s="127">
        <f>'C7'!D21/12</f>
        <v>200721.90907017179</v>
      </c>
      <c r="E16" s="127">
        <f>'C7'!D21/12</f>
        <v>200721.90907017179</v>
      </c>
      <c r="F16" s="127">
        <f>'C7'!D21/12</f>
        <v>200721.90907017179</v>
      </c>
      <c r="G16" s="127">
        <f>'C7'!D21/12</f>
        <v>200721.90907017179</v>
      </c>
      <c r="H16" s="127">
        <f>'C7'!D21/12</f>
        <v>200721.90907017179</v>
      </c>
      <c r="I16" s="127">
        <f>'C7'!D21/12</f>
        <v>200721.90907017179</v>
      </c>
      <c r="J16" s="127">
        <f>'C7'!D21/12</f>
        <v>200721.90907017179</v>
      </c>
      <c r="K16" s="127">
        <f>'C7'!D21/12</f>
        <v>200721.90907017179</v>
      </c>
      <c r="L16" s="127">
        <f>'C7'!D21/12</f>
        <v>200721.90907017179</v>
      </c>
      <c r="M16" s="127">
        <f>'C7'!D21/12</f>
        <v>200721.90907017179</v>
      </c>
      <c r="N16" s="127">
        <f t="shared" ref="N16:N22" si="1">SUM(B16:M16)</f>
        <v>2408662.9088420621</v>
      </c>
    </row>
    <row r="17" spans="1:14" ht="20.100000000000001" customHeight="1">
      <c r="A17" s="9" t="s">
        <v>357</v>
      </c>
      <c r="B17" s="127">
        <f>'C6F'!C13/12</f>
        <v>70395.228000000003</v>
      </c>
      <c r="C17" s="127">
        <f>'C6F'!C13/12</f>
        <v>70395.228000000003</v>
      </c>
      <c r="D17" s="127">
        <f>'C6F'!C13/12</f>
        <v>70395.228000000003</v>
      </c>
      <c r="E17" s="127">
        <f>'C6F'!C13/12</f>
        <v>70395.228000000003</v>
      </c>
      <c r="F17" s="127">
        <f>'C6F'!C13/12</f>
        <v>70395.228000000003</v>
      </c>
      <c r="G17" s="127">
        <f>'C6F'!C13/12</f>
        <v>70395.228000000003</v>
      </c>
      <c r="H17" s="127">
        <f>'C6F'!C13/12</f>
        <v>70395.228000000003</v>
      </c>
      <c r="I17" s="127">
        <f>'C6F'!C13/12</f>
        <v>70395.228000000003</v>
      </c>
      <c r="J17" s="127">
        <f>'C6F'!C13/12</f>
        <v>70395.228000000003</v>
      </c>
      <c r="K17" s="127">
        <f>'C6F'!C13/12</f>
        <v>70395.228000000003</v>
      </c>
      <c r="L17" s="127">
        <f>'C6F'!C13/12</f>
        <v>70395.228000000003</v>
      </c>
      <c r="M17" s="127">
        <f>'C6F'!C13/12</f>
        <v>70395.228000000003</v>
      </c>
      <c r="N17" s="127">
        <f t="shared" si="1"/>
        <v>844742.73600000003</v>
      </c>
    </row>
    <row r="18" spans="1:14" ht="20.100000000000001" customHeight="1">
      <c r="A18" s="9" t="s">
        <v>431</v>
      </c>
      <c r="B18" s="127">
        <f>'C9'!D18/12</f>
        <v>91218.221070171814</v>
      </c>
      <c r="C18" s="127">
        <f>'C9'!D18/12</f>
        <v>91218.221070171814</v>
      </c>
      <c r="D18" s="127">
        <f>'C9'!D18/12</f>
        <v>91218.221070171814</v>
      </c>
      <c r="E18" s="127">
        <f>'C9'!D18/12</f>
        <v>91218.221070171814</v>
      </c>
      <c r="F18" s="127">
        <f>'C9'!D18/12</f>
        <v>91218.221070171814</v>
      </c>
      <c r="G18" s="127">
        <f>'C9'!D18/12</f>
        <v>91218.221070171814</v>
      </c>
      <c r="H18" s="127">
        <f>'C9'!D18/12</f>
        <v>91218.221070171814</v>
      </c>
      <c r="I18" s="127">
        <f>'C9'!D18/12</f>
        <v>91218.221070171814</v>
      </c>
      <c r="J18" s="127">
        <f>'C9'!D18/12</f>
        <v>91218.221070171814</v>
      </c>
      <c r="K18" s="127">
        <f>'C9'!D18/12</f>
        <v>91218.221070171814</v>
      </c>
      <c r="L18" s="127">
        <f>'C9'!D18/12</f>
        <v>91218.221070171814</v>
      </c>
      <c r="M18" s="127">
        <f>'C9'!D18/12</f>
        <v>91218.221070171814</v>
      </c>
      <c r="N18" s="127">
        <f t="shared" si="1"/>
        <v>1094618.6528420618</v>
      </c>
    </row>
    <row r="19" spans="1:14" ht="20.100000000000001" customHeight="1">
      <c r="A19" s="9" t="s">
        <v>360</v>
      </c>
      <c r="B19" s="127">
        <f>'C4'!D21/12</f>
        <v>59088.538111965208</v>
      </c>
      <c r="C19" s="127">
        <f>'C4'!D21/12</f>
        <v>59088.538111965208</v>
      </c>
      <c r="D19" s="127">
        <f>'C4'!D21/12</f>
        <v>59088.538111965208</v>
      </c>
      <c r="E19" s="127">
        <f>'C4'!D21/12</f>
        <v>59088.538111965208</v>
      </c>
      <c r="F19" s="127">
        <f>'C4'!D21/12</f>
        <v>59088.538111965208</v>
      </c>
      <c r="G19" s="127">
        <f>'C4'!D21/12</f>
        <v>59088.538111965208</v>
      </c>
      <c r="H19" s="127">
        <f>'C4'!D21/12</f>
        <v>59088.538111965208</v>
      </c>
      <c r="I19" s="127">
        <f>'C4'!D21/12</f>
        <v>59088.538111965208</v>
      </c>
      <c r="J19" s="127">
        <f>'C4'!D21/12</f>
        <v>59088.538111965208</v>
      </c>
      <c r="K19" s="127">
        <f>'C4'!D21/12</f>
        <v>59088.538111965208</v>
      </c>
      <c r="L19" s="127">
        <f>'C4'!D21/12</f>
        <v>59088.538111965208</v>
      </c>
      <c r="M19" s="127">
        <f>'C4'!D21/12</f>
        <v>59088.538111965208</v>
      </c>
      <c r="N19" s="127">
        <f t="shared" si="1"/>
        <v>709062.45734358241</v>
      </c>
    </row>
    <row r="20" spans="1:14" ht="20.100000000000001" customHeight="1">
      <c r="A20" s="9" t="s">
        <v>411</v>
      </c>
      <c r="B20" s="127"/>
      <c r="C20" s="127"/>
      <c r="D20" s="127">
        <f>'C5'!G17</f>
        <v>570760.66768209438</v>
      </c>
      <c r="E20" s="127"/>
      <c r="F20" s="127"/>
      <c r="G20" s="127">
        <f>'C5'!G18</f>
        <v>570760.66768209438</v>
      </c>
      <c r="H20" s="127"/>
      <c r="I20" s="127"/>
      <c r="J20" s="127">
        <f>'C5'!G19</f>
        <v>570760.66768209438</v>
      </c>
      <c r="K20" s="127"/>
      <c r="L20" s="127"/>
      <c r="M20" s="127">
        <f>'C5'!G20</f>
        <v>570760.66768209438</v>
      </c>
      <c r="N20" s="127">
        <f>SUM(B20:M20)</f>
        <v>2283042.6707283775</v>
      </c>
    </row>
    <row r="21" spans="1:14" ht="20.100000000000001" customHeight="1">
      <c r="A21" s="9" t="s">
        <v>412</v>
      </c>
      <c r="B21" s="127"/>
      <c r="C21" s="127"/>
      <c r="D21" s="127">
        <f>'C5'!F17</f>
        <v>0</v>
      </c>
      <c r="E21" s="127"/>
      <c r="F21" s="127"/>
      <c r="G21" s="127">
        <f>'C5'!F18</f>
        <v>0</v>
      </c>
      <c r="H21" s="127"/>
      <c r="I21" s="127"/>
      <c r="J21" s="127">
        <f>'C5'!F19</f>
        <v>0</v>
      </c>
      <c r="K21" s="127"/>
      <c r="L21" s="127"/>
      <c r="M21" s="127">
        <f>'C5'!F20</f>
        <v>0</v>
      </c>
      <c r="N21" s="127">
        <f>SUM(B21:M21)</f>
        <v>0</v>
      </c>
    </row>
    <row r="22" spans="1:14" ht="20.100000000000001" customHeight="1">
      <c r="A22" s="9" t="s">
        <v>341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>
        <f t="shared" si="1"/>
        <v>0</v>
      </c>
    </row>
    <row r="23" spans="1:14" s="110" customFormat="1" ht="20.100000000000001" customHeight="1">
      <c r="A23" s="7" t="s">
        <v>413</v>
      </c>
      <c r="B23" s="131">
        <f>SUM(B15:B22)-B16</f>
        <v>16736471.765233383</v>
      </c>
      <c r="C23" s="131">
        <f t="shared" ref="C23:N23" si="2">SUM(C15:C22)-C16</f>
        <v>220701.987182137</v>
      </c>
      <c r="D23" s="131">
        <f>SUM(D15:D22)-D16</f>
        <v>791462.65486423147</v>
      </c>
      <c r="E23" s="131">
        <f t="shared" si="2"/>
        <v>220701.987182137</v>
      </c>
      <c r="F23" s="131">
        <f t="shared" si="2"/>
        <v>220701.987182137</v>
      </c>
      <c r="G23" s="131">
        <f t="shared" si="2"/>
        <v>791462.65486423147</v>
      </c>
      <c r="H23" s="131">
        <f t="shared" si="2"/>
        <v>220701.987182137</v>
      </c>
      <c r="I23" s="131">
        <f t="shared" si="2"/>
        <v>220701.987182137</v>
      </c>
      <c r="J23" s="131">
        <f t="shared" si="2"/>
        <v>791462.65486423147</v>
      </c>
      <c r="K23" s="131">
        <f t="shared" si="2"/>
        <v>220701.987182137</v>
      </c>
      <c r="L23" s="131">
        <f t="shared" si="2"/>
        <v>220701.987182137</v>
      </c>
      <c r="M23" s="131">
        <f t="shared" si="2"/>
        <v>791462.65486423147</v>
      </c>
      <c r="N23" s="131">
        <f t="shared" si="2"/>
        <v>21447236.294965271</v>
      </c>
    </row>
    <row r="24" spans="1:14" s="110" customFormat="1" ht="20.100000000000001" customHeight="1">
      <c r="A24" s="7" t="s">
        <v>414</v>
      </c>
      <c r="B24" s="131">
        <f>B12-B23</f>
        <v>371897.55092982948</v>
      </c>
      <c r="C24" s="131">
        <f>C12-C23</f>
        <v>371897.55092982808</v>
      </c>
      <c r="D24" s="131">
        <f>D12-D23</f>
        <v>-198863.11675226642</v>
      </c>
      <c r="E24" s="131">
        <f t="shared" ref="E24:M24" si="3">E12-E23</f>
        <v>371897.55092982808</v>
      </c>
      <c r="F24" s="131">
        <f t="shared" si="3"/>
        <v>371897.55092982808</v>
      </c>
      <c r="G24" s="131">
        <f t="shared" si="3"/>
        <v>-198863.11675226642</v>
      </c>
      <c r="H24" s="131">
        <f t="shared" si="3"/>
        <v>371897.55092982808</v>
      </c>
      <c r="I24" s="131">
        <f t="shared" si="3"/>
        <v>371897.55092982808</v>
      </c>
      <c r="J24" s="131">
        <f t="shared" si="3"/>
        <v>-198863.11675226642</v>
      </c>
      <c r="K24" s="131">
        <f t="shared" si="3"/>
        <v>371897.55092982808</v>
      </c>
      <c r="L24" s="131">
        <f t="shared" si="3"/>
        <v>371897.55092982808</v>
      </c>
      <c r="M24" s="131">
        <f t="shared" si="3"/>
        <v>-198863.11675226642</v>
      </c>
      <c r="N24" s="131">
        <f>N12-N23</f>
        <v>2179727.9404295571</v>
      </c>
    </row>
    <row r="25" spans="1:14" s="110" customFormat="1" ht="20.100000000000001" customHeight="1">
      <c r="A25" s="7" t="s">
        <v>415</v>
      </c>
      <c r="B25" s="131">
        <f>B24</f>
        <v>371897.55092982948</v>
      </c>
      <c r="C25" s="131">
        <f>B25+C24</f>
        <v>743795.10185965756</v>
      </c>
      <c r="D25" s="131">
        <f t="shared" ref="D25:M25" si="4">C25+D24</f>
        <v>544931.98510739114</v>
      </c>
      <c r="E25" s="131">
        <f t="shared" si="4"/>
        <v>916829.53603721922</v>
      </c>
      <c r="F25" s="131">
        <f t="shared" si="4"/>
        <v>1288727.0869670473</v>
      </c>
      <c r="G25" s="131">
        <f t="shared" si="4"/>
        <v>1089863.9702147809</v>
      </c>
      <c r="H25" s="131">
        <f t="shared" si="4"/>
        <v>1461761.521144609</v>
      </c>
      <c r="I25" s="131">
        <f t="shared" si="4"/>
        <v>1833659.072074437</v>
      </c>
      <c r="J25" s="131">
        <f t="shared" si="4"/>
        <v>1634795.9553221706</v>
      </c>
      <c r="K25" s="131">
        <f t="shared" si="4"/>
        <v>2006693.5062519987</v>
      </c>
      <c r="L25" s="131">
        <f t="shared" si="4"/>
        <v>2378591.0571818268</v>
      </c>
      <c r="M25" s="131">
        <f t="shared" si="4"/>
        <v>2179727.9404295604</v>
      </c>
      <c r="N25" s="131"/>
    </row>
    <row r="26" spans="1:14" ht="20.100000000000001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ht="20.100000000000001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20.100000000000001" customHeight="1">
      <c r="A28" s="2" t="s">
        <v>432</v>
      </c>
      <c r="B28" s="254">
        <f>ABS(MIN(B24:M24))</f>
        <v>198863.11675226642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>
      <c r="A30" s="2" t="s">
        <v>433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>
      <c r="A31" s="3" t="s">
        <v>375</v>
      </c>
      <c r="B31" s="5"/>
      <c r="C31" s="5" t="s">
        <v>434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>
      <c r="A32" s="3" t="s">
        <v>435</v>
      </c>
      <c r="B32" s="5"/>
      <c r="C32" s="5" t="s">
        <v>436</v>
      </c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 t="s">
        <v>437</v>
      </c>
      <c r="B33" s="5"/>
      <c r="C33" s="5" t="s">
        <v>438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 t="s">
        <v>240</v>
      </c>
      <c r="B34" s="5">
        <v>12</v>
      </c>
      <c r="C34" s="5" t="s">
        <v>24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</sheetData>
  <mergeCells count="1">
    <mergeCell ref="A2:N2"/>
  </mergeCells>
  <printOptions horizontalCentered="1" verticalCentered="1"/>
  <pageMargins left="0.59055118110236227" right="0.59055118110236227" top="0.59055118110236227" bottom="0.59055118110236227" header="0" footer="0"/>
  <pageSetup scale="61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3"/>
  <sheetViews>
    <sheetView tabSelected="1" topLeftCell="A25" workbookViewId="0">
      <selection activeCell="D36" sqref="D36"/>
    </sheetView>
  </sheetViews>
  <sheetFormatPr baseColWidth="10" defaultColWidth="13.28515625" defaultRowHeight="15.75"/>
  <cols>
    <col min="1" max="1" width="13.28515625" style="3" customWidth="1"/>
    <col min="2" max="2" width="39.85546875" style="3" customWidth="1"/>
    <col min="3" max="3" width="15.5703125" style="3" customWidth="1"/>
    <col min="4" max="4" width="15" style="3" bestFit="1" customWidth="1"/>
    <col min="5" max="5" width="17.140625" style="3" bestFit="1" customWidth="1"/>
    <col min="6" max="6" width="15.42578125" style="3" bestFit="1" customWidth="1"/>
    <col min="7" max="7" width="17.140625" style="3" bestFit="1" customWidth="1"/>
    <col min="8" max="8" width="15.28515625" style="3" bestFit="1" customWidth="1"/>
    <col min="9" max="11" width="13.28515625" style="3"/>
    <col min="12" max="256" width="13.28515625" style="108"/>
    <col min="257" max="257" width="13.28515625" style="108" customWidth="1"/>
    <col min="258" max="258" width="34.28515625" style="108" customWidth="1"/>
    <col min="259" max="259" width="15.5703125" style="108" customWidth="1"/>
    <col min="260" max="512" width="13.28515625" style="108"/>
    <col min="513" max="513" width="13.28515625" style="108" customWidth="1"/>
    <col min="514" max="514" width="34.28515625" style="108" customWidth="1"/>
    <col min="515" max="515" width="15.5703125" style="108" customWidth="1"/>
    <col min="516" max="768" width="13.28515625" style="108"/>
    <col min="769" max="769" width="13.28515625" style="108" customWidth="1"/>
    <col min="770" max="770" width="34.28515625" style="108" customWidth="1"/>
    <col min="771" max="771" width="15.5703125" style="108" customWidth="1"/>
    <col min="772" max="1024" width="13.28515625" style="108"/>
    <col min="1025" max="1025" width="13.28515625" style="108" customWidth="1"/>
    <col min="1026" max="1026" width="34.28515625" style="108" customWidth="1"/>
    <col min="1027" max="1027" width="15.5703125" style="108" customWidth="1"/>
    <col min="1028" max="1280" width="13.28515625" style="108"/>
    <col min="1281" max="1281" width="13.28515625" style="108" customWidth="1"/>
    <col min="1282" max="1282" width="34.28515625" style="108" customWidth="1"/>
    <col min="1283" max="1283" width="15.5703125" style="108" customWidth="1"/>
    <col min="1284" max="1536" width="13.28515625" style="108"/>
    <col min="1537" max="1537" width="13.28515625" style="108" customWidth="1"/>
    <col min="1538" max="1538" width="34.28515625" style="108" customWidth="1"/>
    <col min="1539" max="1539" width="15.5703125" style="108" customWidth="1"/>
    <col min="1540" max="1792" width="13.28515625" style="108"/>
    <col min="1793" max="1793" width="13.28515625" style="108" customWidth="1"/>
    <col min="1794" max="1794" width="34.28515625" style="108" customWidth="1"/>
    <col min="1795" max="1795" width="15.5703125" style="108" customWidth="1"/>
    <col min="1796" max="2048" width="13.28515625" style="108"/>
    <col min="2049" max="2049" width="13.28515625" style="108" customWidth="1"/>
    <col min="2050" max="2050" width="34.28515625" style="108" customWidth="1"/>
    <col min="2051" max="2051" width="15.5703125" style="108" customWidth="1"/>
    <col min="2052" max="2304" width="13.28515625" style="108"/>
    <col min="2305" max="2305" width="13.28515625" style="108" customWidth="1"/>
    <col min="2306" max="2306" width="34.28515625" style="108" customWidth="1"/>
    <col min="2307" max="2307" width="15.5703125" style="108" customWidth="1"/>
    <col min="2308" max="2560" width="13.28515625" style="108"/>
    <col min="2561" max="2561" width="13.28515625" style="108" customWidth="1"/>
    <col min="2562" max="2562" width="34.28515625" style="108" customWidth="1"/>
    <col min="2563" max="2563" width="15.5703125" style="108" customWidth="1"/>
    <col min="2564" max="2816" width="13.28515625" style="108"/>
    <col min="2817" max="2817" width="13.28515625" style="108" customWidth="1"/>
    <col min="2818" max="2818" width="34.28515625" style="108" customWidth="1"/>
    <col min="2819" max="2819" width="15.5703125" style="108" customWidth="1"/>
    <col min="2820" max="3072" width="13.28515625" style="108"/>
    <col min="3073" max="3073" width="13.28515625" style="108" customWidth="1"/>
    <col min="3074" max="3074" width="34.28515625" style="108" customWidth="1"/>
    <col min="3075" max="3075" width="15.5703125" style="108" customWidth="1"/>
    <col min="3076" max="3328" width="13.28515625" style="108"/>
    <col min="3329" max="3329" width="13.28515625" style="108" customWidth="1"/>
    <col min="3330" max="3330" width="34.28515625" style="108" customWidth="1"/>
    <col min="3331" max="3331" width="15.5703125" style="108" customWidth="1"/>
    <col min="3332" max="3584" width="13.28515625" style="108"/>
    <col min="3585" max="3585" width="13.28515625" style="108" customWidth="1"/>
    <col min="3586" max="3586" width="34.28515625" style="108" customWidth="1"/>
    <col min="3587" max="3587" width="15.5703125" style="108" customWidth="1"/>
    <col min="3588" max="3840" width="13.28515625" style="108"/>
    <col min="3841" max="3841" width="13.28515625" style="108" customWidth="1"/>
    <col min="3842" max="3842" width="34.28515625" style="108" customWidth="1"/>
    <col min="3843" max="3843" width="15.5703125" style="108" customWidth="1"/>
    <col min="3844" max="4096" width="13.28515625" style="108"/>
    <col min="4097" max="4097" width="13.28515625" style="108" customWidth="1"/>
    <col min="4098" max="4098" width="34.28515625" style="108" customWidth="1"/>
    <col min="4099" max="4099" width="15.5703125" style="108" customWidth="1"/>
    <col min="4100" max="4352" width="13.28515625" style="108"/>
    <col min="4353" max="4353" width="13.28515625" style="108" customWidth="1"/>
    <col min="4354" max="4354" width="34.28515625" style="108" customWidth="1"/>
    <col min="4355" max="4355" width="15.5703125" style="108" customWidth="1"/>
    <col min="4356" max="4608" width="13.28515625" style="108"/>
    <col min="4609" max="4609" width="13.28515625" style="108" customWidth="1"/>
    <col min="4610" max="4610" width="34.28515625" style="108" customWidth="1"/>
    <col min="4611" max="4611" width="15.5703125" style="108" customWidth="1"/>
    <col min="4612" max="4864" width="13.28515625" style="108"/>
    <col min="4865" max="4865" width="13.28515625" style="108" customWidth="1"/>
    <col min="4866" max="4866" width="34.28515625" style="108" customWidth="1"/>
    <col min="4867" max="4867" width="15.5703125" style="108" customWidth="1"/>
    <col min="4868" max="5120" width="13.28515625" style="108"/>
    <col min="5121" max="5121" width="13.28515625" style="108" customWidth="1"/>
    <col min="5122" max="5122" width="34.28515625" style="108" customWidth="1"/>
    <col min="5123" max="5123" width="15.5703125" style="108" customWidth="1"/>
    <col min="5124" max="5376" width="13.28515625" style="108"/>
    <col min="5377" max="5377" width="13.28515625" style="108" customWidth="1"/>
    <col min="5378" max="5378" width="34.28515625" style="108" customWidth="1"/>
    <col min="5379" max="5379" width="15.5703125" style="108" customWidth="1"/>
    <col min="5380" max="5632" width="13.28515625" style="108"/>
    <col min="5633" max="5633" width="13.28515625" style="108" customWidth="1"/>
    <col min="5634" max="5634" width="34.28515625" style="108" customWidth="1"/>
    <col min="5635" max="5635" width="15.5703125" style="108" customWidth="1"/>
    <col min="5636" max="5888" width="13.28515625" style="108"/>
    <col min="5889" max="5889" width="13.28515625" style="108" customWidth="1"/>
    <col min="5890" max="5890" width="34.28515625" style="108" customWidth="1"/>
    <col min="5891" max="5891" width="15.5703125" style="108" customWidth="1"/>
    <col min="5892" max="6144" width="13.28515625" style="108"/>
    <col min="6145" max="6145" width="13.28515625" style="108" customWidth="1"/>
    <col min="6146" max="6146" width="34.28515625" style="108" customWidth="1"/>
    <col min="6147" max="6147" width="15.5703125" style="108" customWidth="1"/>
    <col min="6148" max="6400" width="13.28515625" style="108"/>
    <col min="6401" max="6401" width="13.28515625" style="108" customWidth="1"/>
    <col min="6402" max="6402" width="34.28515625" style="108" customWidth="1"/>
    <col min="6403" max="6403" width="15.5703125" style="108" customWidth="1"/>
    <col min="6404" max="6656" width="13.28515625" style="108"/>
    <col min="6657" max="6657" width="13.28515625" style="108" customWidth="1"/>
    <col min="6658" max="6658" width="34.28515625" style="108" customWidth="1"/>
    <col min="6659" max="6659" width="15.5703125" style="108" customWidth="1"/>
    <col min="6660" max="6912" width="13.28515625" style="108"/>
    <col min="6913" max="6913" width="13.28515625" style="108" customWidth="1"/>
    <col min="6914" max="6914" width="34.28515625" style="108" customWidth="1"/>
    <col min="6915" max="6915" width="15.5703125" style="108" customWidth="1"/>
    <col min="6916" max="7168" width="13.28515625" style="108"/>
    <col min="7169" max="7169" width="13.28515625" style="108" customWidth="1"/>
    <col min="7170" max="7170" width="34.28515625" style="108" customWidth="1"/>
    <col min="7171" max="7171" width="15.5703125" style="108" customWidth="1"/>
    <col min="7172" max="7424" width="13.28515625" style="108"/>
    <col min="7425" max="7425" width="13.28515625" style="108" customWidth="1"/>
    <col min="7426" max="7426" width="34.28515625" style="108" customWidth="1"/>
    <col min="7427" max="7427" width="15.5703125" style="108" customWidth="1"/>
    <col min="7428" max="7680" width="13.28515625" style="108"/>
    <col min="7681" max="7681" width="13.28515625" style="108" customWidth="1"/>
    <col min="7682" max="7682" width="34.28515625" style="108" customWidth="1"/>
    <col min="7683" max="7683" width="15.5703125" style="108" customWidth="1"/>
    <col min="7684" max="7936" width="13.28515625" style="108"/>
    <col min="7937" max="7937" width="13.28515625" style="108" customWidth="1"/>
    <col min="7938" max="7938" width="34.28515625" style="108" customWidth="1"/>
    <col min="7939" max="7939" width="15.5703125" style="108" customWidth="1"/>
    <col min="7940" max="8192" width="13.28515625" style="108"/>
    <col min="8193" max="8193" width="13.28515625" style="108" customWidth="1"/>
    <col min="8194" max="8194" width="34.28515625" style="108" customWidth="1"/>
    <col min="8195" max="8195" width="15.5703125" style="108" customWidth="1"/>
    <col min="8196" max="8448" width="13.28515625" style="108"/>
    <col min="8449" max="8449" width="13.28515625" style="108" customWidth="1"/>
    <col min="8450" max="8450" width="34.28515625" style="108" customWidth="1"/>
    <col min="8451" max="8451" width="15.5703125" style="108" customWidth="1"/>
    <col min="8452" max="8704" width="13.28515625" style="108"/>
    <col min="8705" max="8705" width="13.28515625" style="108" customWidth="1"/>
    <col min="8706" max="8706" width="34.28515625" style="108" customWidth="1"/>
    <col min="8707" max="8707" width="15.5703125" style="108" customWidth="1"/>
    <col min="8708" max="8960" width="13.28515625" style="108"/>
    <col min="8961" max="8961" width="13.28515625" style="108" customWidth="1"/>
    <col min="8962" max="8962" width="34.28515625" style="108" customWidth="1"/>
    <col min="8963" max="8963" width="15.5703125" style="108" customWidth="1"/>
    <col min="8964" max="9216" width="13.28515625" style="108"/>
    <col min="9217" max="9217" width="13.28515625" style="108" customWidth="1"/>
    <col min="9218" max="9218" width="34.28515625" style="108" customWidth="1"/>
    <col min="9219" max="9219" width="15.5703125" style="108" customWidth="1"/>
    <col min="9220" max="9472" width="13.28515625" style="108"/>
    <col min="9473" max="9473" width="13.28515625" style="108" customWidth="1"/>
    <col min="9474" max="9474" width="34.28515625" style="108" customWidth="1"/>
    <col min="9475" max="9475" width="15.5703125" style="108" customWidth="1"/>
    <col min="9476" max="9728" width="13.28515625" style="108"/>
    <col min="9729" max="9729" width="13.28515625" style="108" customWidth="1"/>
    <col min="9730" max="9730" width="34.28515625" style="108" customWidth="1"/>
    <col min="9731" max="9731" width="15.5703125" style="108" customWidth="1"/>
    <col min="9732" max="9984" width="13.28515625" style="108"/>
    <col min="9985" max="9985" width="13.28515625" style="108" customWidth="1"/>
    <col min="9986" max="9986" width="34.28515625" style="108" customWidth="1"/>
    <col min="9987" max="9987" width="15.5703125" style="108" customWidth="1"/>
    <col min="9988" max="10240" width="13.28515625" style="108"/>
    <col min="10241" max="10241" width="13.28515625" style="108" customWidth="1"/>
    <col min="10242" max="10242" width="34.28515625" style="108" customWidth="1"/>
    <col min="10243" max="10243" width="15.5703125" style="108" customWidth="1"/>
    <col min="10244" max="10496" width="13.28515625" style="108"/>
    <col min="10497" max="10497" width="13.28515625" style="108" customWidth="1"/>
    <col min="10498" max="10498" width="34.28515625" style="108" customWidth="1"/>
    <col min="10499" max="10499" width="15.5703125" style="108" customWidth="1"/>
    <col min="10500" max="10752" width="13.28515625" style="108"/>
    <col min="10753" max="10753" width="13.28515625" style="108" customWidth="1"/>
    <col min="10754" max="10754" width="34.28515625" style="108" customWidth="1"/>
    <col min="10755" max="10755" width="15.5703125" style="108" customWidth="1"/>
    <col min="10756" max="11008" width="13.28515625" style="108"/>
    <col min="11009" max="11009" width="13.28515625" style="108" customWidth="1"/>
    <col min="11010" max="11010" width="34.28515625" style="108" customWidth="1"/>
    <col min="11011" max="11011" width="15.5703125" style="108" customWidth="1"/>
    <col min="11012" max="11264" width="13.28515625" style="108"/>
    <col min="11265" max="11265" width="13.28515625" style="108" customWidth="1"/>
    <col min="11266" max="11266" width="34.28515625" style="108" customWidth="1"/>
    <col min="11267" max="11267" width="15.5703125" style="108" customWidth="1"/>
    <col min="11268" max="11520" width="13.28515625" style="108"/>
    <col min="11521" max="11521" width="13.28515625" style="108" customWidth="1"/>
    <col min="11522" max="11522" width="34.28515625" style="108" customWidth="1"/>
    <col min="11523" max="11523" width="15.5703125" style="108" customWidth="1"/>
    <col min="11524" max="11776" width="13.28515625" style="108"/>
    <col min="11777" max="11777" width="13.28515625" style="108" customWidth="1"/>
    <col min="11778" max="11778" width="34.28515625" style="108" customWidth="1"/>
    <col min="11779" max="11779" width="15.5703125" style="108" customWidth="1"/>
    <col min="11780" max="12032" width="13.28515625" style="108"/>
    <col min="12033" max="12033" width="13.28515625" style="108" customWidth="1"/>
    <col min="12034" max="12034" width="34.28515625" style="108" customWidth="1"/>
    <col min="12035" max="12035" width="15.5703125" style="108" customWidth="1"/>
    <col min="12036" max="12288" width="13.28515625" style="108"/>
    <col min="12289" max="12289" width="13.28515625" style="108" customWidth="1"/>
    <col min="12290" max="12290" width="34.28515625" style="108" customWidth="1"/>
    <col min="12291" max="12291" width="15.5703125" style="108" customWidth="1"/>
    <col min="12292" max="12544" width="13.28515625" style="108"/>
    <col min="12545" max="12545" width="13.28515625" style="108" customWidth="1"/>
    <col min="12546" max="12546" width="34.28515625" style="108" customWidth="1"/>
    <col min="12547" max="12547" width="15.5703125" style="108" customWidth="1"/>
    <col min="12548" max="12800" width="13.28515625" style="108"/>
    <col min="12801" max="12801" width="13.28515625" style="108" customWidth="1"/>
    <col min="12802" max="12802" width="34.28515625" style="108" customWidth="1"/>
    <col min="12803" max="12803" width="15.5703125" style="108" customWidth="1"/>
    <col min="12804" max="13056" width="13.28515625" style="108"/>
    <col min="13057" max="13057" width="13.28515625" style="108" customWidth="1"/>
    <col min="13058" max="13058" width="34.28515625" style="108" customWidth="1"/>
    <col min="13059" max="13059" width="15.5703125" style="108" customWidth="1"/>
    <col min="13060" max="13312" width="13.28515625" style="108"/>
    <col min="13313" max="13313" width="13.28515625" style="108" customWidth="1"/>
    <col min="13314" max="13314" width="34.28515625" style="108" customWidth="1"/>
    <col min="13315" max="13315" width="15.5703125" style="108" customWidth="1"/>
    <col min="13316" max="13568" width="13.28515625" style="108"/>
    <col min="13569" max="13569" width="13.28515625" style="108" customWidth="1"/>
    <col min="13570" max="13570" width="34.28515625" style="108" customWidth="1"/>
    <col min="13571" max="13571" width="15.5703125" style="108" customWidth="1"/>
    <col min="13572" max="13824" width="13.28515625" style="108"/>
    <col min="13825" max="13825" width="13.28515625" style="108" customWidth="1"/>
    <col min="13826" max="13826" width="34.28515625" style="108" customWidth="1"/>
    <col min="13827" max="13827" width="15.5703125" style="108" customWidth="1"/>
    <col min="13828" max="14080" width="13.28515625" style="108"/>
    <col min="14081" max="14081" width="13.28515625" style="108" customWidth="1"/>
    <col min="14082" max="14082" width="34.28515625" style="108" customWidth="1"/>
    <col min="14083" max="14083" width="15.5703125" style="108" customWidth="1"/>
    <col min="14084" max="14336" width="13.28515625" style="108"/>
    <col min="14337" max="14337" width="13.28515625" style="108" customWidth="1"/>
    <col min="14338" max="14338" width="34.28515625" style="108" customWidth="1"/>
    <col min="14339" max="14339" width="15.5703125" style="108" customWidth="1"/>
    <col min="14340" max="14592" width="13.28515625" style="108"/>
    <col min="14593" max="14593" width="13.28515625" style="108" customWidth="1"/>
    <col min="14594" max="14594" width="34.28515625" style="108" customWidth="1"/>
    <col min="14595" max="14595" width="15.5703125" style="108" customWidth="1"/>
    <col min="14596" max="14848" width="13.28515625" style="108"/>
    <col min="14849" max="14849" width="13.28515625" style="108" customWidth="1"/>
    <col min="14850" max="14850" width="34.28515625" style="108" customWidth="1"/>
    <col min="14851" max="14851" width="15.5703125" style="108" customWidth="1"/>
    <col min="14852" max="15104" width="13.28515625" style="108"/>
    <col min="15105" max="15105" width="13.28515625" style="108" customWidth="1"/>
    <col min="15106" max="15106" width="34.28515625" style="108" customWidth="1"/>
    <col min="15107" max="15107" width="15.5703125" style="108" customWidth="1"/>
    <col min="15108" max="15360" width="13.28515625" style="108"/>
    <col min="15361" max="15361" width="13.28515625" style="108" customWidth="1"/>
    <col min="15362" max="15362" width="34.28515625" style="108" customWidth="1"/>
    <col min="15363" max="15363" width="15.5703125" style="108" customWidth="1"/>
    <col min="15364" max="15616" width="13.28515625" style="108"/>
    <col min="15617" max="15617" width="13.28515625" style="108" customWidth="1"/>
    <col min="15618" max="15618" width="34.28515625" style="108" customWidth="1"/>
    <col min="15619" max="15619" width="15.5703125" style="108" customWidth="1"/>
    <col min="15620" max="15872" width="13.28515625" style="108"/>
    <col min="15873" max="15873" width="13.28515625" style="108" customWidth="1"/>
    <col min="15874" max="15874" width="34.28515625" style="108" customWidth="1"/>
    <col min="15875" max="15875" width="15.5703125" style="108" customWidth="1"/>
    <col min="15876" max="16128" width="13.28515625" style="108"/>
    <col min="16129" max="16129" width="13.28515625" style="108" customWidth="1"/>
    <col min="16130" max="16130" width="34.28515625" style="108" customWidth="1"/>
    <col min="16131" max="16131" width="15.5703125" style="108" customWidth="1"/>
    <col min="16132" max="16384" width="13.28515625" style="108"/>
  </cols>
  <sheetData>
    <row r="2" spans="1:11">
      <c r="A2" s="294" t="s">
        <v>440</v>
      </c>
      <c r="B2" s="294"/>
      <c r="C2" s="294"/>
      <c r="D2" s="294"/>
      <c r="E2" s="294"/>
      <c r="F2" s="294"/>
      <c r="G2" s="294"/>
      <c r="H2" s="309"/>
    </row>
    <row r="3" spans="1:11">
      <c r="A3" s="310" t="s">
        <v>336</v>
      </c>
      <c r="B3" s="311"/>
      <c r="C3" s="311"/>
      <c r="D3" s="311"/>
      <c r="E3" s="311"/>
      <c r="F3" s="311"/>
      <c r="G3" s="311"/>
      <c r="H3" s="311"/>
    </row>
    <row r="4" spans="1:11">
      <c r="A4" s="261"/>
      <c r="B4" s="262"/>
      <c r="C4" s="262"/>
      <c r="D4" s="262"/>
      <c r="E4" s="262"/>
      <c r="F4" s="262"/>
      <c r="G4" s="262"/>
      <c r="H4" s="262"/>
    </row>
    <row r="5" spans="1:11">
      <c r="A5" s="261"/>
      <c r="B5" s="261" t="s">
        <v>458</v>
      </c>
      <c r="C5" s="262"/>
      <c r="D5" s="262"/>
      <c r="E5" s="262"/>
      <c r="F5" s="262"/>
      <c r="G5" s="262"/>
      <c r="H5" s="262"/>
    </row>
    <row r="7" spans="1:11" ht="30.75" customHeight="1">
      <c r="C7" s="146" t="s">
        <v>305</v>
      </c>
      <c r="D7" s="146" t="s">
        <v>401</v>
      </c>
      <c r="E7" s="146" t="s">
        <v>4</v>
      </c>
      <c r="F7" s="146" t="s">
        <v>441</v>
      </c>
      <c r="G7" s="146" t="s">
        <v>308</v>
      </c>
      <c r="K7" s="108"/>
    </row>
    <row r="8" spans="1:11" ht="18" customHeight="1">
      <c r="B8" s="7" t="s">
        <v>352</v>
      </c>
      <c r="C8" s="13">
        <f>'C1'!D19</f>
        <v>1164.0239999999999</v>
      </c>
      <c r="D8" s="13">
        <f>'C1'!E19</f>
        <v>2040</v>
      </c>
      <c r="E8" s="13">
        <f>'C1'!F19</f>
        <v>4080</v>
      </c>
      <c r="F8" s="13">
        <f>'C1'!G19</f>
        <v>4080</v>
      </c>
      <c r="G8" s="13">
        <f>'C1'!H19</f>
        <v>4080</v>
      </c>
      <c r="K8" s="108"/>
    </row>
    <row r="9" spans="1:11" ht="18" customHeight="1">
      <c r="B9" s="7" t="s">
        <v>442</v>
      </c>
      <c r="C9" s="12"/>
      <c r="D9" s="12"/>
      <c r="E9" s="12"/>
      <c r="F9" s="12"/>
      <c r="G9" s="12"/>
      <c r="K9" s="108"/>
    </row>
    <row r="10" spans="1:11" ht="18" customHeight="1">
      <c r="A10" s="2"/>
      <c r="B10" s="9" t="s">
        <v>443</v>
      </c>
      <c r="C10" s="127">
        <f>-'C3'!C26</f>
        <v>-6185287.4256512458</v>
      </c>
      <c r="D10" s="127">
        <f>-'C3'!F26</f>
        <v>0</v>
      </c>
      <c r="E10" s="127">
        <f>-'C3'!I26</f>
        <v>0</v>
      </c>
      <c r="F10" s="127">
        <f>-'C3'!L26</f>
        <v>0</v>
      </c>
      <c r="G10" s="127">
        <f>-'C3'!O26</f>
        <v>0</v>
      </c>
      <c r="K10" s="108"/>
    </row>
    <row r="11" spans="1:11" ht="18" customHeight="1">
      <c r="A11" s="2"/>
      <c r="B11" s="9" t="s">
        <v>444</v>
      </c>
      <c r="C11" s="127">
        <f>'C13'!B24</f>
        <v>1866764.192980323</v>
      </c>
      <c r="D11" s="127">
        <f>'C13'!C24</f>
        <v>3538449.9244345911</v>
      </c>
      <c r="E11" s="127">
        <f>'C13'!D24</f>
        <v>15262982.778391432</v>
      </c>
      <c r="F11" s="127">
        <f>'C13'!E24</f>
        <v>18621035.200437941</v>
      </c>
      <c r="G11" s="127">
        <f>'C13'!F24</f>
        <v>22587302.987670399</v>
      </c>
      <c r="K11" s="108"/>
    </row>
    <row r="12" spans="1:11" ht="18" customHeight="1">
      <c r="A12" s="2"/>
      <c r="B12" s="9"/>
      <c r="C12" s="127"/>
      <c r="D12" s="127"/>
      <c r="E12" s="127"/>
      <c r="F12" s="127"/>
      <c r="G12" s="127"/>
      <c r="K12" s="108"/>
    </row>
    <row r="13" spans="1:11" ht="18" customHeight="1">
      <c r="A13" s="2"/>
      <c r="B13" s="7" t="s">
        <v>456</v>
      </c>
      <c r="C13" s="127"/>
      <c r="D13" s="127"/>
      <c r="E13" s="127"/>
      <c r="F13" s="127"/>
      <c r="G13" s="127"/>
      <c r="K13" s="108"/>
    </row>
    <row r="14" spans="1:11" ht="18" customHeight="1">
      <c r="A14" s="2"/>
      <c r="B14" s="9" t="s">
        <v>457</v>
      </c>
      <c r="C14" s="127">
        <f>C10+C11</f>
        <v>-4318523.2326709228</v>
      </c>
      <c r="D14" s="127">
        <f t="shared" ref="D14:G14" si="0">D10+D11</f>
        <v>3538449.9244345911</v>
      </c>
      <c r="E14" s="127">
        <f t="shared" si="0"/>
        <v>15262982.778391432</v>
      </c>
      <c r="F14" s="127">
        <f t="shared" si="0"/>
        <v>18621035.200437941</v>
      </c>
      <c r="G14" s="127">
        <f t="shared" si="0"/>
        <v>22587302.987670399</v>
      </c>
      <c r="K14" s="108"/>
    </row>
    <row r="15" spans="1:11" ht="18" customHeight="1"/>
    <row r="16" spans="1:11" ht="18" customHeight="1">
      <c r="B16" s="7" t="s">
        <v>445</v>
      </c>
      <c r="E16" s="4"/>
    </row>
    <row r="17" spans="1:8" ht="18" customHeight="1">
      <c r="B17" s="7" t="s">
        <v>446</v>
      </c>
      <c r="C17" s="263">
        <f>NPV(C37,C14:G14)</f>
        <v>22404751.309385248</v>
      </c>
      <c r="D17" s="255"/>
      <c r="E17" s="144"/>
      <c r="F17" s="255"/>
      <c r="G17" s="255"/>
      <c r="H17" s="255"/>
    </row>
    <row r="18" spans="1:8" ht="18" customHeight="1">
      <c r="B18" s="7" t="s">
        <v>447</v>
      </c>
      <c r="C18" s="264">
        <f>IRR(C14:G14)</f>
        <v>1.8335797493292041</v>
      </c>
      <c r="D18" s="236"/>
      <c r="E18" s="236"/>
      <c r="F18" s="236"/>
      <c r="G18" s="236"/>
      <c r="H18" s="236"/>
    </row>
    <row r="19" spans="1:8" ht="18" customHeight="1">
      <c r="B19" s="149"/>
      <c r="C19" s="265"/>
      <c r="D19" s="236"/>
      <c r="E19" s="236"/>
      <c r="F19" s="236"/>
      <c r="G19" s="236"/>
      <c r="H19" s="236"/>
    </row>
    <row r="20" spans="1:8" ht="18" customHeight="1">
      <c r="B20" s="149" t="s">
        <v>459</v>
      </c>
      <c r="C20" s="265"/>
      <c r="D20" s="236"/>
      <c r="E20" s="236"/>
      <c r="F20" s="236"/>
      <c r="G20" s="236"/>
      <c r="H20" s="236"/>
    </row>
    <row r="21" spans="1:8" ht="18" customHeight="1">
      <c r="B21" s="149"/>
      <c r="C21" s="265"/>
      <c r="D21" s="236"/>
      <c r="E21" s="236"/>
      <c r="F21" s="236"/>
      <c r="G21" s="236"/>
      <c r="H21" s="236"/>
    </row>
    <row r="22" spans="1:8" ht="18" customHeight="1">
      <c r="C22" s="146" t="s">
        <v>305</v>
      </c>
      <c r="D22" s="146" t="s">
        <v>401</v>
      </c>
      <c r="E22" s="146" t="s">
        <v>4</v>
      </c>
      <c r="F22" s="146" t="s">
        <v>441</v>
      </c>
      <c r="G22" s="146" t="s">
        <v>308</v>
      </c>
      <c r="H22" s="236"/>
    </row>
    <row r="23" spans="1:8" ht="18" customHeight="1">
      <c r="B23" s="7" t="s">
        <v>352</v>
      </c>
      <c r="C23" s="13">
        <f>'C1'!D34</f>
        <v>0</v>
      </c>
      <c r="D23" s="13">
        <f>'C1'!E34</f>
        <v>0</v>
      </c>
      <c r="E23" s="13">
        <f>'C1'!F34</f>
        <v>0</v>
      </c>
      <c r="F23" s="13">
        <f>'C1'!G34</f>
        <v>0</v>
      </c>
      <c r="G23" s="13">
        <f>'C1'!H34</f>
        <v>0</v>
      </c>
      <c r="H23" s="236"/>
    </row>
    <row r="24" spans="1:8" ht="18" customHeight="1">
      <c r="B24" s="7" t="s">
        <v>442</v>
      </c>
      <c r="C24" s="12"/>
      <c r="D24" s="12"/>
      <c r="E24" s="12"/>
      <c r="F24" s="12"/>
      <c r="G24" s="12"/>
      <c r="H24" s="236"/>
    </row>
    <row r="25" spans="1:8" ht="18" customHeight="1">
      <c r="A25" s="2"/>
      <c r="B25" s="9" t="s">
        <v>460</v>
      </c>
      <c r="C25" s="127">
        <f>-'C3'!E26</f>
        <v>-16515769.778051246</v>
      </c>
      <c r="D25" s="127">
        <f>-'C3'!H26</f>
        <v>0</v>
      </c>
      <c r="E25" s="127">
        <f>-'C3'!K26</f>
        <v>0</v>
      </c>
      <c r="F25" s="127">
        <f>-'C3'!N26</f>
        <v>0</v>
      </c>
      <c r="G25" s="127">
        <f>-'C3'!Q26</f>
        <v>0</v>
      </c>
      <c r="H25" s="236"/>
    </row>
    <row r="26" spans="1:8" ht="18" customHeight="1">
      <c r="A26" s="2"/>
      <c r="B26" s="9" t="s">
        <v>444</v>
      </c>
      <c r="C26" s="127">
        <f>C11</f>
        <v>1866764.192980323</v>
      </c>
      <c r="D26" s="127">
        <f t="shared" ref="D26:G26" si="1">D11</f>
        <v>3538449.9244345911</v>
      </c>
      <c r="E26" s="127">
        <f t="shared" si="1"/>
        <v>15262982.778391432</v>
      </c>
      <c r="F26" s="127">
        <f t="shared" si="1"/>
        <v>18621035.200437941</v>
      </c>
      <c r="G26" s="127">
        <f t="shared" si="1"/>
        <v>22587302.987670399</v>
      </c>
      <c r="H26" s="236"/>
    </row>
    <row r="27" spans="1:8" ht="18" customHeight="1">
      <c r="A27" s="2"/>
      <c r="B27" s="9"/>
      <c r="C27" s="127"/>
      <c r="D27" s="127"/>
      <c r="E27" s="127"/>
      <c r="F27" s="127"/>
      <c r="G27" s="127"/>
      <c r="H27" s="236"/>
    </row>
    <row r="28" spans="1:8" ht="18" customHeight="1">
      <c r="A28" s="2"/>
      <c r="B28" s="7" t="s">
        <v>456</v>
      </c>
      <c r="C28" s="127"/>
      <c r="D28" s="127"/>
      <c r="E28" s="127"/>
      <c r="F28" s="127"/>
      <c r="G28" s="127"/>
      <c r="H28" s="236"/>
    </row>
    <row r="29" spans="1:8" ht="18" customHeight="1">
      <c r="A29" s="2"/>
      <c r="B29" s="9" t="s">
        <v>460</v>
      </c>
      <c r="C29" s="127">
        <f>C25+C26</f>
        <v>-14649005.585070923</v>
      </c>
      <c r="D29" s="127">
        <f>D25+D26</f>
        <v>3538449.9244345911</v>
      </c>
      <c r="E29" s="127">
        <f t="shared" ref="E29:G29" si="2">E25+E26</f>
        <v>15262982.778391432</v>
      </c>
      <c r="F29" s="127">
        <f t="shared" si="2"/>
        <v>18621035.200437941</v>
      </c>
      <c r="G29" s="127">
        <f t="shared" si="2"/>
        <v>22587302.987670399</v>
      </c>
      <c r="H29" s="236"/>
    </row>
    <row r="30" spans="1:8" ht="18" customHeight="1">
      <c r="B30" s="149"/>
      <c r="C30" s="265"/>
      <c r="D30" s="236"/>
      <c r="E30" s="236"/>
      <c r="F30" s="236"/>
      <c r="G30" s="236"/>
      <c r="H30" s="236"/>
    </row>
    <row r="31" spans="1:8" ht="18" customHeight="1">
      <c r="B31" s="7" t="s">
        <v>55</v>
      </c>
      <c r="D31" s="2"/>
      <c r="E31" s="2"/>
      <c r="F31" s="2"/>
      <c r="G31" s="2"/>
      <c r="H31" s="2"/>
    </row>
    <row r="32" spans="1:8" ht="18" customHeight="1">
      <c r="B32" s="7" t="s">
        <v>446</v>
      </c>
      <c r="C32" s="263">
        <f>NPV(C37,C29:G29)</f>
        <v>14073717.154223958</v>
      </c>
      <c r="D32" s="255"/>
      <c r="E32" s="255"/>
      <c r="F32" s="255"/>
      <c r="G32" s="255"/>
      <c r="H32" s="255"/>
    </row>
    <row r="33" spans="2:9" ht="18" customHeight="1">
      <c r="B33" s="7" t="s">
        <v>447</v>
      </c>
      <c r="C33" s="264">
        <f>IRR(C29:G29)</f>
        <v>0.66298655866819522</v>
      </c>
      <c r="D33" s="236"/>
      <c r="E33" s="236"/>
      <c r="F33" s="236"/>
      <c r="G33" s="236"/>
      <c r="H33" s="236"/>
    </row>
    <row r="36" spans="2:9">
      <c r="B36" s="2" t="s">
        <v>95</v>
      </c>
    </row>
    <row r="37" spans="2:9">
      <c r="B37" s="3" t="s">
        <v>461</v>
      </c>
      <c r="C37" s="27">
        <v>0.24</v>
      </c>
      <c r="F37" s="3" t="s">
        <v>450</v>
      </c>
      <c r="G37" s="118">
        <f>'C3'!R26</f>
        <v>6185287.4256512458</v>
      </c>
      <c r="I37" s="118">
        <f>G37*C39</f>
        <v>773160.92820640572</v>
      </c>
    </row>
    <row r="38" spans="2:9">
      <c r="B38" s="3" t="s">
        <v>448</v>
      </c>
      <c r="C38" s="4">
        <v>0.24</v>
      </c>
      <c r="F38" s="3" t="s">
        <v>451</v>
      </c>
      <c r="G38" s="118">
        <f>'C3'!S26</f>
        <v>10330482.352399999</v>
      </c>
      <c r="I38" s="118">
        <f>G38*C38</f>
        <v>2479315.7645759997</v>
      </c>
    </row>
    <row r="39" spans="2:9">
      <c r="B39" s="3" t="s">
        <v>449</v>
      </c>
      <c r="C39" s="27">
        <v>0.125</v>
      </c>
      <c r="G39" s="118">
        <f>SUM(G37:G38)</f>
        <v>16515769.778051246</v>
      </c>
      <c r="I39" s="118">
        <f>SUM(I37:I38)</f>
        <v>3252476.6927824053</v>
      </c>
    </row>
    <row r="40" spans="2:9">
      <c r="B40" s="108"/>
      <c r="C40" s="108"/>
      <c r="D40" s="108"/>
      <c r="E40" s="108"/>
      <c r="F40" s="3" t="s">
        <v>452</v>
      </c>
      <c r="G40" s="27">
        <f>I39/G39</f>
        <v>0.19693158335888214</v>
      </c>
    </row>
    <row r="41" spans="2:9">
      <c r="B41" s="108"/>
      <c r="C41" s="108"/>
      <c r="D41" s="108"/>
      <c r="E41" s="108"/>
    </row>
    <row r="42" spans="2:9">
      <c r="B42" s="108"/>
      <c r="C42" s="108"/>
      <c r="D42" s="108"/>
      <c r="E42" s="108"/>
    </row>
    <row r="43" spans="2:9">
      <c r="B43" s="108"/>
      <c r="C43" s="108"/>
      <c r="D43" s="108"/>
      <c r="E43" s="108"/>
    </row>
  </sheetData>
  <mergeCells count="2">
    <mergeCell ref="A2:H2"/>
    <mergeCell ref="A3:H3"/>
  </mergeCells>
  <printOptions horizontalCentered="1" verticalCentered="1"/>
  <pageMargins left="0.78740157480314965" right="0.78740157480314965" top="0.78740157480314965" bottom="0.78740157480314965" header="0" footer="0"/>
  <pageSetup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R43"/>
  <sheetViews>
    <sheetView topLeftCell="B1" workbookViewId="0">
      <selection activeCell="M24" sqref="M24"/>
    </sheetView>
  </sheetViews>
  <sheetFormatPr baseColWidth="10" defaultRowHeight="15.75"/>
  <cols>
    <col min="1" max="1" width="11.42578125" style="1"/>
    <col min="2" max="2" width="41.28515625" style="1" bestFit="1" customWidth="1"/>
    <col min="3" max="3" width="11.28515625" style="1" customWidth="1"/>
    <col min="4" max="4" width="8.5703125" style="1" customWidth="1"/>
    <col min="5" max="5" width="19.28515625" style="1" bestFit="1" customWidth="1"/>
    <col min="6" max="6" width="8.5703125" style="1" customWidth="1"/>
    <col min="7" max="7" width="8.42578125" style="1" customWidth="1"/>
    <col min="8" max="8" width="6" bestFit="1" customWidth="1"/>
    <col min="9" max="9" width="8.28515625" customWidth="1"/>
    <col min="10" max="10" width="8" customWidth="1"/>
    <col min="11" max="11" width="6" bestFit="1" customWidth="1"/>
    <col min="12" max="12" width="8.85546875" customWidth="1"/>
    <col min="13" max="13" width="8.28515625" customWidth="1"/>
    <col min="14" max="14" width="6" bestFit="1" customWidth="1"/>
    <col min="15" max="15" width="9" customWidth="1"/>
    <col min="16" max="16" width="8.42578125" customWidth="1"/>
    <col min="17" max="17" width="6" bestFit="1" customWidth="1"/>
  </cols>
  <sheetData>
    <row r="3" spans="1:18">
      <c r="B3" s="2"/>
      <c r="C3" s="3"/>
      <c r="D3" s="3"/>
      <c r="E3" s="3"/>
      <c r="F3" s="3"/>
      <c r="G3" s="3"/>
    </row>
    <row r="4" spans="1:18">
      <c r="B4" s="272" t="s">
        <v>42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</row>
    <row r="5" spans="1:18">
      <c r="B5" s="3"/>
      <c r="C5" s="3"/>
      <c r="D5" s="3"/>
      <c r="E5" s="3"/>
      <c r="F5" s="3"/>
      <c r="G5" s="3"/>
    </row>
    <row r="6" spans="1:18">
      <c r="B6" s="3"/>
      <c r="C6" s="3"/>
      <c r="D6" s="3"/>
      <c r="E6" s="3"/>
      <c r="F6" s="3"/>
      <c r="G6" s="3"/>
    </row>
    <row r="7" spans="1:18" ht="31.5" customHeight="1">
      <c r="B7" s="6"/>
      <c r="C7" s="273" t="s">
        <v>32</v>
      </c>
      <c r="D7" s="274"/>
      <c r="E7" s="275"/>
      <c r="F7" s="273" t="s">
        <v>3</v>
      </c>
      <c r="G7" s="274"/>
      <c r="H7" s="275"/>
      <c r="I7" s="273" t="s">
        <v>33</v>
      </c>
      <c r="J7" s="274"/>
      <c r="K7" s="275"/>
      <c r="L7" s="273" t="s">
        <v>34</v>
      </c>
      <c r="M7" s="274"/>
      <c r="N7" s="275"/>
      <c r="O7" s="273" t="s">
        <v>35</v>
      </c>
      <c r="P7" s="274"/>
      <c r="Q7" s="275"/>
    </row>
    <row r="8" spans="1:18" s="31" customFormat="1" ht="31.5">
      <c r="A8" s="30"/>
      <c r="B8" s="28" t="s">
        <v>38</v>
      </c>
      <c r="C8" s="28" t="s">
        <v>39</v>
      </c>
      <c r="D8" s="28" t="s">
        <v>36</v>
      </c>
      <c r="E8" s="28" t="s">
        <v>37</v>
      </c>
      <c r="F8" s="28" t="s">
        <v>39</v>
      </c>
      <c r="G8" s="28" t="s">
        <v>36</v>
      </c>
      <c r="H8" s="28" t="s">
        <v>37</v>
      </c>
      <c r="I8" s="28" t="s">
        <v>39</v>
      </c>
      <c r="J8" s="28" t="s">
        <v>36</v>
      </c>
      <c r="K8" s="28" t="s">
        <v>37</v>
      </c>
      <c r="L8" s="28" t="s">
        <v>39</v>
      </c>
      <c r="M8" s="28" t="s">
        <v>36</v>
      </c>
      <c r="N8" s="28" t="s">
        <v>37</v>
      </c>
      <c r="O8" s="28" t="s">
        <v>39</v>
      </c>
      <c r="P8" s="28" t="s">
        <v>36</v>
      </c>
      <c r="Q8" s="28" t="s">
        <v>37</v>
      </c>
      <c r="R8" s="62" t="s">
        <v>58</v>
      </c>
    </row>
    <row r="9" spans="1:18">
      <c r="B9" s="33" t="s">
        <v>57</v>
      </c>
      <c r="C9" s="12">
        <v>12000</v>
      </c>
      <c r="D9" s="72">
        <v>940</v>
      </c>
      <c r="E9" s="12">
        <f>C9*D9</f>
        <v>11280000</v>
      </c>
      <c r="F9" s="12"/>
      <c r="G9" s="12"/>
      <c r="H9" s="63"/>
      <c r="I9" s="63"/>
      <c r="J9" s="63"/>
      <c r="K9" s="63"/>
      <c r="L9" s="63"/>
      <c r="M9" s="63"/>
      <c r="N9" s="63"/>
      <c r="O9" s="63"/>
      <c r="P9" s="63"/>
      <c r="Q9" s="63"/>
      <c r="R9" s="64">
        <f>Q9+N9+K9+H9+E9</f>
        <v>11280000</v>
      </c>
    </row>
    <row r="10" spans="1:18">
      <c r="B10" s="33" t="s">
        <v>56</v>
      </c>
      <c r="C10" s="12">
        <v>3000</v>
      </c>
      <c r="D10" s="12">
        <v>940</v>
      </c>
      <c r="E10" s="12">
        <f>C10*D10</f>
        <v>2820000</v>
      </c>
      <c r="F10" s="12"/>
      <c r="G10" s="12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>
        <f>Q10+N10+K10+H10+E10</f>
        <v>2820000</v>
      </c>
    </row>
    <row r="11" spans="1:18">
      <c r="B11" s="7" t="s">
        <v>58</v>
      </c>
      <c r="C11" s="65"/>
      <c r="D11" s="65"/>
      <c r="E11" s="151">
        <f>SUM(E9:E10)</f>
        <v>14100000</v>
      </c>
      <c r="F11" s="65"/>
      <c r="G11" s="65"/>
      <c r="H11" s="65">
        <f t="shared" ref="H11:Q11" si="0">SUM(H9:H10)</f>
        <v>0</v>
      </c>
      <c r="I11" s="65"/>
      <c r="J11" s="65"/>
      <c r="K11" s="65">
        <f t="shared" si="0"/>
        <v>0</v>
      </c>
      <c r="L11" s="65"/>
      <c r="M11" s="65"/>
      <c r="N11" s="65">
        <f t="shared" si="0"/>
        <v>0</v>
      </c>
      <c r="O11" s="65"/>
      <c r="P11" s="65"/>
      <c r="Q11" s="65">
        <f t="shared" si="0"/>
        <v>0</v>
      </c>
      <c r="R11" s="66">
        <f>SUM(R9:R10)</f>
        <v>14100000</v>
      </c>
    </row>
    <row r="12" spans="1:18"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22"/>
    </row>
    <row r="13" spans="1:18" ht="15" customHeight="1">
      <c r="B13" s="2" t="s">
        <v>11</v>
      </c>
      <c r="C13" s="3"/>
      <c r="D13" s="3"/>
      <c r="E13" s="3"/>
      <c r="F13" s="3"/>
      <c r="G13" s="3"/>
    </row>
    <row r="14" spans="1:18">
      <c r="B14" s="3"/>
      <c r="C14" s="3"/>
      <c r="D14" s="3"/>
      <c r="E14" s="3"/>
      <c r="F14" s="3"/>
      <c r="G14" s="3"/>
    </row>
    <row r="15" spans="1:18">
      <c r="B15" s="39" t="s">
        <v>81</v>
      </c>
      <c r="D15" s="39">
        <v>9000</v>
      </c>
      <c r="E15" s="39"/>
      <c r="F15" s="39"/>
      <c r="G15" s="39"/>
      <c r="H15" s="39"/>
      <c r="I15" s="38" t="s">
        <v>246</v>
      </c>
      <c r="J15" s="38"/>
      <c r="K15" s="38"/>
      <c r="L15" s="34"/>
    </row>
    <row r="16" spans="1:18">
      <c r="B16" s="39" t="s">
        <v>82</v>
      </c>
      <c r="C16" s="41"/>
      <c r="D16" s="42"/>
      <c r="E16" s="39"/>
      <c r="F16" s="39"/>
      <c r="G16" s="39"/>
      <c r="H16" s="39"/>
      <c r="I16" s="38"/>
      <c r="J16" s="157">
        <f>(0.4*131.25)</f>
        <v>52.5</v>
      </c>
      <c r="K16" s="38"/>
      <c r="L16" s="34"/>
    </row>
    <row r="17" spans="2:12">
      <c r="B17" s="83" t="s">
        <v>107</v>
      </c>
      <c r="C17" s="84"/>
      <c r="D17" s="85">
        <v>8</v>
      </c>
      <c r="E17" s="285" t="s">
        <v>64</v>
      </c>
      <c r="F17" s="39"/>
      <c r="G17" s="39"/>
      <c r="H17" s="39"/>
      <c r="I17" s="38"/>
      <c r="J17" s="157">
        <f>0.2*143.51</f>
        <v>28.701999999999998</v>
      </c>
      <c r="K17" s="38"/>
      <c r="L17" s="34"/>
    </row>
    <row r="18" spans="2:12">
      <c r="B18" s="103" t="s">
        <v>105</v>
      </c>
      <c r="C18" s="102"/>
      <c r="D18" s="104">
        <v>19</v>
      </c>
      <c r="E18" s="286"/>
      <c r="F18" s="39"/>
      <c r="G18" s="39"/>
      <c r="H18" s="39"/>
      <c r="I18" s="38"/>
      <c r="J18" s="157">
        <f>437.79</f>
        <v>437.79</v>
      </c>
      <c r="K18" s="38"/>
      <c r="L18" s="34"/>
    </row>
    <row r="19" spans="2:12">
      <c r="B19" s="103" t="s">
        <v>130</v>
      </c>
      <c r="C19" s="100"/>
      <c r="D19" s="105">
        <v>2.4</v>
      </c>
      <c r="E19" s="286"/>
      <c r="F19" s="39"/>
      <c r="G19" s="39"/>
      <c r="H19" s="39"/>
      <c r="I19" s="38"/>
      <c r="J19" s="157">
        <f>47.68</f>
        <v>47.68</v>
      </c>
      <c r="K19" s="38"/>
      <c r="L19" s="34"/>
    </row>
    <row r="20" spans="2:12">
      <c r="B20" s="103" t="s">
        <v>121</v>
      </c>
      <c r="C20" s="100"/>
      <c r="D20" s="105">
        <v>11.476800000000001</v>
      </c>
      <c r="E20" s="286"/>
      <c r="F20" s="39"/>
      <c r="G20" s="12">
        <f>(D17*D18)+D19*(SUM(D20:D24))+SUM(D25:D30)+D31*(SUM(D32:D38))+D39*D40+22*D43</f>
        <v>752.15791999999999</v>
      </c>
      <c r="H20" s="39"/>
      <c r="I20" s="38"/>
      <c r="J20" s="157">
        <f>0.2*476.39</f>
        <v>95.278000000000006</v>
      </c>
      <c r="K20" s="38"/>
      <c r="L20" s="34"/>
    </row>
    <row r="21" spans="2:12">
      <c r="B21" s="103" t="s">
        <v>122</v>
      </c>
      <c r="C21" s="100"/>
      <c r="D21" s="105">
        <v>7.0926</v>
      </c>
      <c r="E21" s="286"/>
      <c r="F21" s="39"/>
      <c r="G21" s="39"/>
      <c r="H21" s="39"/>
      <c r="I21" s="38"/>
      <c r="J21" s="157">
        <f>827.89</f>
        <v>827.89</v>
      </c>
      <c r="K21" s="38"/>
      <c r="L21" s="34"/>
    </row>
    <row r="22" spans="2:12">
      <c r="B22" s="103" t="s">
        <v>123</v>
      </c>
      <c r="C22" s="100"/>
      <c r="D22" s="105">
        <v>4.8083</v>
      </c>
      <c r="E22" s="286"/>
      <c r="F22" s="39"/>
      <c r="G22" s="39"/>
      <c r="H22" s="39"/>
      <c r="I22" s="38"/>
      <c r="J22" s="157">
        <f>203</f>
        <v>203</v>
      </c>
      <c r="K22" s="38"/>
      <c r="L22" s="34"/>
    </row>
    <row r="23" spans="2:12" ht="15.75" customHeight="1">
      <c r="B23" s="89" t="s">
        <v>124</v>
      </c>
      <c r="C23" s="90"/>
      <c r="D23" s="106">
        <v>3.6278000000000001</v>
      </c>
      <c r="E23" s="286"/>
      <c r="F23" s="39"/>
      <c r="G23" s="39"/>
      <c r="H23" s="39"/>
      <c r="I23" s="38"/>
      <c r="J23" s="157">
        <f>675.3</f>
        <v>675.3</v>
      </c>
      <c r="K23" s="38"/>
      <c r="L23" s="34"/>
    </row>
    <row r="24" spans="2:12">
      <c r="B24" s="92" t="s">
        <v>125</v>
      </c>
      <c r="C24" s="93"/>
      <c r="D24" s="107">
        <v>4.76</v>
      </c>
      <c r="E24" s="287"/>
      <c r="F24" s="39"/>
      <c r="G24" s="39"/>
      <c r="H24" s="39"/>
      <c r="I24" s="38"/>
      <c r="J24" s="157">
        <f>133.97</f>
        <v>133.97</v>
      </c>
      <c r="K24" s="38"/>
      <c r="L24" s="34"/>
    </row>
    <row r="25" spans="2:12">
      <c r="B25" s="99" t="s">
        <v>104</v>
      </c>
      <c r="C25" s="100"/>
      <c r="D25" s="101">
        <v>30</v>
      </c>
      <c r="E25" s="281" t="s">
        <v>41</v>
      </c>
      <c r="G25" s="39"/>
      <c r="H25" s="39"/>
      <c r="I25" s="38"/>
      <c r="J25" s="157">
        <f>174.39</f>
        <v>174.39</v>
      </c>
      <c r="K25" s="38"/>
      <c r="L25" s="34"/>
    </row>
    <row r="26" spans="2:12">
      <c r="B26" s="86" t="s">
        <v>108</v>
      </c>
      <c r="C26" s="87"/>
      <c r="D26" s="88">
        <v>3.72</v>
      </c>
      <c r="E26" s="282"/>
      <c r="G26" s="3"/>
      <c r="J26" s="158">
        <f>11.35</f>
        <v>11.35</v>
      </c>
    </row>
    <row r="27" spans="2:12">
      <c r="B27" s="86" t="s">
        <v>109</v>
      </c>
      <c r="C27" s="87"/>
      <c r="D27" s="88">
        <v>4.38</v>
      </c>
      <c r="E27" s="282"/>
      <c r="G27" s="3"/>
      <c r="J27" s="158">
        <f>29.52</f>
        <v>29.52</v>
      </c>
    </row>
    <row r="28" spans="2:12">
      <c r="B28" s="89" t="s">
        <v>110</v>
      </c>
      <c r="C28" s="90"/>
      <c r="D28" s="91">
        <v>3.46</v>
      </c>
      <c r="E28" s="282"/>
      <c r="J28" s="158">
        <f>39.51</f>
        <v>39.51</v>
      </c>
    </row>
    <row r="29" spans="2:12">
      <c r="B29" s="89" t="s">
        <v>111</v>
      </c>
      <c r="C29" s="90"/>
      <c r="D29" s="91">
        <v>16.489999999999998</v>
      </c>
      <c r="E29" s="282"/>
      <c r="J29" s="158">
        <f>83.56</f>
        <v>83.56</v>
      </c>
    </row>
    <row r="30" spans="2:12">
      <c r="B30" s="92" t="s">
        <v>112</v>
      </c>
      <c r="C30" s="93"/>
      <c r="D30" s="94">
        <v>5.15</v>
      </c>
      <c r="E30" s="283"/>
      <c r="J30" s="156">
        <f>SUM(J16:J29)</f>
        <v>2840.4399999999996</v>
      </c>
      <c r="L30" t="s">
        <v>247</v>
      </c>
    </row>
    <row r="31" spans="2:12">
      <c r="B31" s="96" t="s">
        <v>129</v>
      </c>
      <c r="C31" s="97"/>
      <c r="D31" s="98">
        <v>2.4</v>
      </c>
      <c r="E31" s="276" t="s">
        <v>120</v>
      </c>
    </row>
    <row r="32" spans="2:12">
      <c r="B32" s="89" t="s">
        <v>113</v>
      </c>
      <c r="C32" s="90"/>
      <c r="D32" s="91">
        <v>16.84</v>
      </c>
      <c r="E32" s="284"/>
    </row>
    <row r="33" spans="2:5">
      <c r="B33" s="89" t="s">
        <v>114</v>
      </c>
      <c r="C33" s="90"/>
      <c r="D33" s="91">
        <v>18.12</v>
      </c>
      <c r="E33" s="284"/>
    </row>
    <row r="34" spans="2:5">
      <c r="B34" s="89" t="s">
        <v>115</v>
      </c>
      <c r="C34" s="90"/>
      <c r="D34" s="91">
        <v>6.69</v>
      </c>
      <c r="E34" s="284"/>
    </row>
    <row r="35" spans="2:5">
      <c r="B35" s="89" t="s">
        <v>116</v>
      </c>
      <c r="C35" s="90"/>
      <c r="D35" s="91">
        <v>20.66</v>
      </c>
      <c r="E35" s="284"/>
    </row>
    <row r="36" spans="2:5">
      <c r="B36" s="89" t="s">
        <v>117</v>
      </c>
      <c r="C36" s="90"/>
      <c r="D36" s="91">
        <v>14.62</v>
      </c>
      <c r="E36" s="284"/>
    </row>
    <row r="37" spans="2:5">
      <c r="B37" s="89" t="s">
        <v>118</v>
      </c>
      <c r="C37" s="90"/>
      <c r="D37" s="91">
        <v>13.23</v>
      </c>
      <c r="E37" s="284"/>
    </row>
    <row r="38" spans="2:5">
      <c r="B38" s="92" t="s">
        <v>119</v>
      </c>
      <c r="C38" s="93"/>
      <c r="D38" s="94">
        <f>6.8251+6.9947+11.8105</f>
        <v>25.630299999999998</v>
      </c>
      <c r="E38" s="277"/>
    </row>
    <row r="39" spans="2:5">
      <c r="B39" s="96" t="s">
        <v>126</v>
      </c>
      <c r="C39" s="97"/>
      <c r="D39" s="98">
        <v>2.4</v>
      </c>
      <c r="E39" s="276" t="s">
        <v>127</v>
      </c>
    </row>
    <row r="40" spans="2:5">
      <c r="B40" s="89" t="s">
        <v>128</v>
      </c>
      <c r="C40" s="90"/>
      <c r="D40" s="91">
        <v>39.51</v>
      </c>
      <c r="E40" s="277"/>
    </row>
    <row r="41" spans="2:5">
      <c r="B41" s="96" t="s">
        <v>131</v>
      </c>
      <c r="C41" s="97"/>
      <c r="D41" s="98">
        <v>2.4</v>
      </c>
      <c r="E41" s="278" t="s">
        <v>132</v>
      </c>
    </row>
    <row r="42" spans="2:5">
      <c r="B42" s="89" t="s">
        <v>133</v>
      </c>
      <c r="C42" s="90"/>
      <c r="D42" s="91">
        <v>11</v>
      </c>
      <c r="E42" s="279"/>
    </row>
    <row r="43" spans="2:5">
      <c r="B43" s="92" t="s">
        <v>134</v>
      </c>
      <c r="C43" s="93"/>
      <c r="D43" s="94">
        <v>4</v>
      </c>
      <c r="E43" s="280"/>
    </row>
  </sheetData>
  <mergeCells count="11">
    <mergeCell ref="E39:E40"/>
    <mergeCell ref="E41:E43"/>
    <mergeCell ref="B4:R4"/>
    <mergeCell ref="E25:E30"/>
    <mergeCell ref="E31:E38"/>
    <mergeCell ref="E17:E24"/>
    <mergeCell ref="C7:E7"/>
    <mergeCell ref="F7:H7"/>
    <mergeCell ref="I7:K7"/>
    <mergeCell ref="L7:N7"/>
    <mergeCell ref="O7:Q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U39"/>
  <sheetViews>
    <sheetView topLeftCell="A4" zoomScale="82" zoomScaleNormal="82" workbookViewId="0">
      <selection activeCell="R26" sqref="R26:T26"/>
    </sheetView>
  </sheetViews>
  <sheetFormatPr baseColWidth="10" defaultRowHeight="15.75"/>
  <cols>
    <col min="1" max="1" width="11.42578125" style="1"/>
    <col min="2" max="2" width="44.140625" style="1" customWidth="1"/>
    <col min="3" max="3" width="14.7109375" style="1" bestFit="1" customWidth="1"/>
    <col min="4" max="4" width="15.140625" style="1" bestFit="1" customWidth="1"/>
    <col min="5" max="5" width="15" style="1" bestFit="1" customWidth="1"/>
    <col min="6" max="6" width="13.85546875" style="1" bestFit="1" customWidth="1"/>
    <col min="7" max="7" width="9.5703125" style="1" customWidth="1"/>
    <col min="8" max="9" width="13.85546875" bestFit="1" customWidth="1"/>
    <col min="10" max="10" width="10" customWidth="1"/>
    <col min="11" max="11" width="13.85546875" bestFit="1" customWidth="1"/>
    <col min="12" max="12" width="12.140625" bestFit="1" customWidth="1"/>
    <col min="13" max="13" width="9.85546875" customWidth="1"/>
    <col min="14" max="15" width="12.140625" bestFit="1" customWidth="1"/>
    <col min="16" max="16" width="10" customWidth="1"/>
    <col min="17" max="17" width="12.140625" bestFit="1" customWidth="1"/>
    <col min="18" max="18" width="13.7109375" style="1" bestFit="1" customWidth="1"/>
    <col min="19" max="20" width="15" style="1" bestFit="1" customWidth="1"/>
  </cols>
  <sheetData>
    <row r="3" spans="1:20">
      <c r="B3" s="2"/>
      <c r="C3" s="3"/>
      <c r="D3" s="3"/>
      <c r="E3" s="3"/>
      <c r="F3" s="3"/>
      <c r="G3" s="3"/>
    </row>
    <row r="4" spans="1:20">
      <c r="B4" s="272" t="s">
        <v>55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</row>
    <row r="5" spans="1:20">
      <c r="B5" s="3"/>
      <c r="C5" s="3"/>
      <c r="D5" s="3"/>
      <c r="E5" s="3"/>
      <c r="F5" s="3"/>
      <c r="G5" s="3"/>
    </row>
    <row r="6" spans="1:20">
      <c r="B6" s="3"/>
      <c r="C6" s="3"/>
      <c r="D6" s="3"/>
      <c r="E6" s="3"/>
      <c r="F6" s="3"/>
      <c r="G6" s="3"/>
    </row>
    <row r="7" spans="1:20" ht="31.5" customHeight="1">
      <c r="B7" s="6"/>
      <c r="C7" s="273" t="s">
        <v>32</v>
      </c>
      <c r="D7" s="274"/>
      <c r="E7" s="275"/>
      <c r="F7" s="273" t="s">
        <v>3</v>
      </c>
      <c r="G7" s="274"/>
      <c r="H7" s="275"/>
      <c r="I7" s="273" t="s">
        <v>33</v>
      </c>
      <c r="J7" s="274"/>
      <c r="K7" s="275"/>
      <c r="L7" s="273" t="s">
        <v>34</v>
      </c>
      <c r="M7" s="274"/>
      <c r="N7" s="275"/>
      <c r="O7" s="273" t="s">
        <v>35</v>
      </c>
      <c r="P7" s="274"/>
      <c r="Q7" s="275"/>
      <c r="R7" s="273" t="s">
        <v>51</v>
      </c>
      <c r="S7" s="274"/>
      <c r="T7" s="275"/>
    </row>
    <row r="8" spans="1:20" s="31" customFormat="1" ht="31.5">
      <c r="A8" s="30"/>
      <c r="B8" s="28"/>
      <c r="C8" s="15" t="s">
        <v>52</v>
      </c>
      <c r="D8" s="15" t="s">
        <v>53</v>
      </c>
      <c r="E8" s="15" t="s">
        <v>54</v>
      </c>
      <c r="F8" s="15" t="s">
        <v>52</v>
      </c>
      <c r="G8" s="15" t="s">
        <v>53</v>
      </c>
      <c r="H8" s="15" t="s">
        <v>54</v>
      </c>
      <c r="I8" s="15" t="s">
        <v>52</v>
      </c>
      <c r="J8" s="15" t="s">
        <v>53</v>
      </c>
      <c r="K8" s="15" t="s">
        <v>54</v>
      </c>
      <c r="L8" s="15" t="s">
        <v>52</v>
      </c>
      <c r="M8" s="15" t="s">
        <v>53</v>
      </c>
      <c r="N8" s="15" t="s">
        <v>54</v>
      </c>
      <c r="O8" s="15" t="s">
        <v>52</v>
      </c>
      <c r="P8" s="15" t="s">
        <v>53</v>
      </c>
      <c r="Q8" s="15" t="s">
        <v>54</v>
      </c>
      <c r="R8" s="15" t="s">
        <v>52</v>
      </c>
      <c r="S8" s="15" t="s">
        <v>53</v>
      </c>
      <c r="T8" s="15" t="s">
        <v>54</v>
      </c>
    </row>
    <row r="9" spans="1:20" s="31" customFormat="1">
      <c r="A9" s="30"/>
      <c r="B9" s="68" t="s">
        <v>44</v>
      </c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153"/>
      <c r="S9" s="153"/>
      <c r="T9" s="154"/>
    </row>
    <row r="10" spans="1:20" s="31" customFormat="1">
      <c r="A10" s="30"/>
      <c r="B10" s="32" t="s">
        <v>43</v>
      </c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9"/>
      <c r="R10" s="170"/>
      <c r="S10" s="170"/>
      <c r="T10" s="170"/>
    </row>
    <row r="11" spans="1:20" s="31" customFormat="1">
      <c r="A11" s="30"/>
      <c r="B11" s="33" t="s">
        <v>57</v>
      </c>
      <c r="C11" s="127">
        <f>0.3*'C2b'!E9</f>
        <v>3384000</v>
      </c>
      <c r="D11" s="159">
        <f>0.7*'C2b'!E9</f>
        <v>7895999.9999999991</v>
      </c>
      <c r="E11" s="159">
        <f>C11+D11</f>
        <v>11280000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71">
        <v>0</v>
      </c>
      <c r="R11" s="172">
        <f>C11+F11+I11+L11+O11</f>
        <v>3384000</v>
      </c>
      <c r="S11" s="172">
        <f>D11+G11+J11+M11+P11</f>
        <v>7895999.9999999991</v>
      </c>
      <c r="T11" s="172">
        <f>E11+H11+K11+N11+Q11</f>
        <v>11280000</v>
      </c>
    </row>
    <row r="12" spans="1:20" s="31" customFormat="1">
      <c r="A12" s="30"/>
      <c r="B12" s="33" t="s">
        <v>56</v>
      </c>
      <c r="C12" s="127">
        <f>0.3*'C2b'!E10</f>
        <v>846000</v>
      </c>
      <c r="D12" s="159">
        <f>0.7*'C2b'!E10</f>
        <v>1973999.9999999998</v>
      </c>
      <c r="E12" s="159">
        <f>C12+D12</f>
        <v>2820000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71">
        <v>0</v>
      </c>
      <c r="R12" s="172">
        <f t="shared" ref="R12" si="0">C12+F12+I12+L12+O12</f>
        <v>846000</v>
      </c>
      <c r="S12" s="172">
        <f t="shared" ref="S12:S26" si="1">D12+G12+J12+M12+P12</f>
        <v>1973999.9999999998</v>
      </c>
      <c r="T12" s="172">
        <f t="shared" ref="T12:T26" si="2">E12+H12+K12+N12+Q12</f>
        <v>2820000</v>
      </c>
    </row>
    <row r="13" spans="1:20" s="31" customFormat="1">
      <c r="A13" s="30"/>
      <c r="B13" s="32" t="s">
        <v>45</v>
      </c>
      <c r="C13" s="127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  <c r="R13" s="172"/>
      <c r="S13" s="172"/>
      <c r="T13" s="172"/>
    </row>
    <row r="14" spans="1:20" s="31" customFormat="1">
      <c r="A14" s="30"/>
      <c r="B14" s="166" t="s">
        <v>79</v>
      </c>
      <c r="C14" s="127">
        <f>0.3*SUM('C2a'!E10:E14)</f>
        <v>52904.1</v>
      </c>
      <c r="D14" s="159">
        <f>SUM('C2a'!E10:E14)-'C3'!C14</f>
        <v>123442.9</v>
      </c>
      <c r="E14" s="159">
        <f>C14+D14</f>
        <v>176347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f>O14+L14+I14+F14+C14</f>
        <v>52904.1</v>
      </c>
      <c r="S14" s="172">
        <f t="shared" ref="S14:T16" si="3">P14+M14+J14+G14+D14</f>
        <v>123442.9</v>
      </c>
      <c r="T14" s="172">
        <f t="shared" si="3"/>
        <v>176347</v>
      </c>
    </row>
    <row r="15" spans="1:20" s="31" customFormat="1">
      <c r="A15" s="30"/>
      <c r="B15" s="166" t="s">
        <v>80</v>
      </c>
      <c r="C15" s="127">
        <f>0.3*SUM('C2a'!E16:E34)</f>
        <v>122395.47960000001</v>
      </c>
      <c r="D15" s="159">
        <f>SUM('C2a'!E16:E34)-'C3'!C15</f>
        <v>285589.45240000001</v>
      </c>
      <c r="E15" s="159">
        <f>C15+D15</f>
        <v>407984.93200000003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f t="shared" ref="R15:R16" si="4">O15+L15+I15+F15+C15</f>
        <v>122395.47960000001</v>
      </c>
      <c r="S15" s="172">
        <f t="shared" si="3"/>
        <v>285589.45240000001</v>
      </c>
      <c r="T15" s="172">
        <f t="shared" si="3"/>
        <v>407984.93200000003</v>
      </c>
    </row>
    <row r="16" spans="1:20" s="31" customFormat="1">
      <c r="A16" s="30"/>
      <c r="B16" s="166" t="s">
        <v>304</v>
      </c>
      <c r="C16" s="127">
        <f>0.3*SUM('C2a'!E36:E37)</f>
        <v>22050</v>
      </c>
      <c r="D16" s="159">
        <f>SUM('C2a'!E36:E37)-'C3'!C16</f>
        <v>51450</v>
      </c>
      <c r="E16" s="159">
        <f>C16+D16</f>
        <v>73500</v>
      </c>
      <c r="F16" s="216">
        <v>0</v>
      </c>
      <c r="G16" s="216">
        <v>0</v>
      </c>
      <c r="H16" s="216">
        <v>0</v>
      </c>
      <c r="I16" s="216">
        <v>0</v>
      </c>
      <c r="J16" s="216">
        <v>0</v>
      </c>
      <c r="K16" s="216">
        <v>0</v>
      </c>
      <c r="L16" s="216">
        <v>0</v>
      </c>
      <c r="M16" s="216">
        <v>0</v>
      </c>
      <c r="N16" s="216">
        <v>0</v>
      </c>
      <c r="O16" s="216">
        <v>0</v>
      </c>
      <c r="P16" s="216">
        <v>0</v>
      </c>
      <c r="Q16" s="216">
        <v>0</v>
      </c>
      <c r="R16" s="172">
        <f t="shared" si="4"/>
        <v>22050</v>
      </c>
      <c r="S16" s="172">
        <f t="shared" si="3"/>
        <v>51450</v>
      </c>
      <c r="T16" s="172">
        <f t="shared" si="3"/>
        <v>73500</v>
      </c>
    </row>
    <row r="17" spans="1:21" s="31" customFormat="1">
      <c r="A17" s="30"/>
      <c r="B17" s="73" t="s">
        <v>47</v>
      </c>
      <c r="C17" s="175">
        <f>SUM(C11:C16)</f>
        <v>4427349.5795999998</v>
      </c>
      <c r="D17" s="175">
        <f>SUM(D11:D16)</f>
        <v>10330482.352399999</v>
      </c>
      <c r="E17" s="175">
        <f>SUM(E11:E16)</f>
        <v>14757831.932</v>
      </c>
      <c r="F17" s="175">
        <f t="shared" ref="F17:P17" si="5">SUM(F11:F16)</f>
        <v>0</v>
      </c>
      <c r="G17" s="175">
        <f t="shared" si="5"/>
        <v>0</v>
      </c>
      <c r="H17" s="175">
        <f t="shared" si="5"/>
        <v>0</v>
      </c>
      <c r="I17" s="175">
        <f t="shared" si="5"/>
        <v>0</v>
      </c>
      <c r="J17" s="175">
        <f t="shared" si="5"/>
        <v>0</v>
      </c>
      <c r="K17" s="175">
        <f t="shared" si="5"/>
        <v>0</v>
      </c>
      <c r="L17" s="175">
        <f t="shared" si="5"/>
        <v>0</v>
      </c>
      <c r="M17" s="175">
        <f t="shared" si="5"/>
        <v>0</v>
      </c>
      <c r="N17" s="175">
        <f t="shared" si="5"/>
        <v>0</v>
      </c>
      <c r="O17" s="175">
        <f t="shared" si="5"/>
        <v>0</v>
      </c>
      <c r="P17" s="175">
        <f t="shared" si="5"/>
        <v>0</v>
      </c>
      <c r="Q17" s="175">
        <f>SUM(Q11:Q16)</f>
        <v>0</v>
      </c>
      <c r="R17" s="176">
        <f>C17+F17+I17+L17+O17</f>
        <v>4427349.5795999998</v>
      </c>
      <c r="S17" s="176">
        <f t="shared" si="1"/>
        <v>10330482.352399999</v>
      </c>
      <c r="T17" s="176">
        <f t="shared" si="2"/>
        <v>14757831.932</v>
      </c>
    </row>
    <row r="18" spans="1:21" s="31" customFormat="1">
      <c r="A18" s="30"/>
      <c r="B18" s="28" t="s">
        <v>46</v>
      </c>
      <c r="C18" s="177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9"/>
      <c r="S18" s="180"/>
      <c r="T18" s="180"/>
      <c r="U18" s="46"/>
    </row>
    <row r="19" spans="1:21" s="31" customFormat="1">
      <c r="A19" s="30"/>
      <c r="B19" s="33" t="s">
        <v>135</v>
      </c>
      <c r="C19" s="181">
        <v>14000</v>
      </c>
      <c r="D19" s="182">
        <v>0</v>
      </c>
      <c r="E19" s="182">
        <f>C19+D19</f>
        <v>14000</v>
      </c>
      <c r="F19" s="182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3">
        <v>0</v>
      </c>
      <c r="R19" s="184">
        <f>C19+F19+I19+L19+O19</f>
        <v>14000</v>
      </c>
      <c r="S19" s="170">
        <f t="shared" si="1"/>
        <v>0</v>
      </c>
      <c r="T19" s="170">
        <f t="shared" si="2"/>
        <v>14000</v>
      </c>
    </row>
    <row r="20" spans="1:21" s="31" customFormat="1">
      <c r="A20" s="30"/>
      <c r="B20" s="33" t="s">
        <v>136</v>
      </c>
      <c r="C20" s="127">
        <v>22000</v>
      </c>
      <c r="D20" s="159">
        <v>0</v>
      </c>
      <c r="E20" s="159">
        <f>C20+D20</f>
        <v>22000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85">
        <f>C20+F20+I20+L20+O20</f>
        <v>22000</v>
      </c>
      <c r="S20" s="172">
        <f>D20+G20+J20+M20+P20</f>
        <v>0</v>
      </c>
      <c r="T20" s="172">
        <f t="shared" si="2"/>
        <v>22000</v>
      </c>
    </row>
    <row r="21" spans="1:21" s="31" customFormat="1">
      <c r="A21" s="30"/>
      <c r="B21" s="33" t="s">
        <v>244</v>
      </c>
      <c r="C21" s="127">
        <v>23027</v>
      </c>
      <c r="D21" s="159">
        <v>0</v>
      </c>
      <c r="E21" s="159">
        <f>C21+D21</f>
        <v>23027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85">
        <f>C21+F21+I21+L21+O21</f>
        <v>23027</v>
      </c>
      <c r="S21" s="172">
        <f t="shared" si="1"/>
        <v>0</v>
      </c>
      <c r="T21" s="172">
        <f t="shared" si="2"/>
        <v>23027</v>
      </c>
    </row>
    <row r="22" spans="1:21" s="31" customFormat="1">
      <c r="A22" s="30"/>
      <c r="B22" s="33" t="s">
        <v>463</v>
      </c>
      <c r="C22" s="127">
        <f>'C5'!H12</f>
        <v>1504507.9760512463</v>
      </c>
      <c r="D22" s="159">
        <v>0</v>
      </c>
      <c r="E22" s="159">
        <f>C22+D22</f>
        <v>1504507.9760512463</v>
      </c>
      <c r="F22" s="159">
        <v>0</v>
      </c>
      <c r="G22" s="159">
        <v>0</v>
      </c>
      <c r="H22" s="159">
        <f>F22+G22</f>
        <v>0</v>
      </c>
      <c r="I22" s="159">
        <v>0</v>
      </c>
      <c r="J22" s="159">
        <v>0</v>
      </c>
      <c r="K22" s="159">
        <f>I22+J22</f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f>O22+P22</f>
        <v>0</v>
      </c>
      <c r="R22" s="185">
        <f t="shared" ref="R22:R26" si="6">C22+F22+I22+L22+O22</f>
        <v>1504507.9760512463</v>
      </c>
      <c r="S22" s="172">
        <f t="shared" si="1"/>
        <v>0</v>
      </c>
      <c r="T22" s="172">
        <f t="shared" si="2"/>
        <v>1504507.9760512463</v>
      </c>
    </row>
    <row r="23" spans="1:21" s="31" customFormat="1">
      <c r="A23" s="30"/>
      <c r="B23" s="73" t="s">
        <v>48</v>
      </c>
      <c r="C23" s="186">
        <f>C19+C20+C22+C21</f>
        <v>1563534.9760512463</v>
      </c>
      <c r="D23" s="187">
        <f>D19+D20+D22+D21</f>
        <v>0</v>
      </c>
      <c r="E23" s="187">
        <f>E19+E20+E22+E21</f>
        <v>1563534.9760512463</v>
      </c>
      <c r="F23" s="187">
        <f>SUM(F19:F22)</f>
        <v>0</v>
      </c>
      <c r="G23" s="187">
        <f t="shared" ref="G23:Q23" si="7">SUM(G19:G22)</f>
        <v>0</v>
      </c>
      <c r="H23" s="187">
        <f t="shared" si="7"/>
        <v>0</v>
      </c>
      <c r="I23" s="187">
        <f t="shared" si="7"/>
        <v>0</v>
      </c>
      <c r="J23" s="187">
        <f t="shared" si="7"/>
        <v>0</v>
      </c>
      <c r="K23" s="187">
        <f t="shared" si="7"/>
        <v>0</v>
      </c>
      <c r="L23" s="187">
        <f t="shared" si="7"/>
        <v>0</v>
      </c>
      <c r="M23" s="187">
        <f t="shared" si="7"/>
        <v>0</v>
      </c>
      <c r="N23" s="187">
        <f t="shared" si="7"/>
        <v>0</v>
      </c>
      <c r="O23" s="187">
        <f t="shared" si="7"/>
        <v>0</v>
      </c>
      <c r="P23" s="187">
        <f t="shared" si="7"/>
        <v>0</v>
      </c>
      <c r="Q23" s="187">
        <f t="shared" si="7"/>
        <v>0</v>
      </c>
      <c r="R23" s="155">
        <f t="shared" si="6"/>
        <v>1563534.9760512463</v>
      </c>
      <c r="S23" s="155">
        <f t="shared" si="1"/>
        <v>0</v>
      </c>
      <c r="T23" s="155">
        <f>E23+H23+K23+N23+Q23</f>
        <v>1563534.9760512463</v>
      </c>
    </row>
    <row r="24" spans="1:21" s="31" customFormat="1">
      <c r="A24" s="30"/>
      <c r="B24" s="73" t="s">
        <v>49</v>
      </c>
      <c r="C24" s="187">
        <f>C23+C17</f>
        <v>5990884.5556512456</v>
      </c>
      <c r="D24" s="187">
        <f>D23+D17</f>
        <v>10330482.352399999</v>
      </c>
      <c r="E24" s="187">
        <f>E23+E17</f>
        <v>16321366.908051247</v>
      </c>
      <c r="F24" s="187">
        <f>F23+F17</f>
        <v>0</v>
      </c>
      <c r="G24" s="187">
        <f t="shared" ref="G24:Q24" si="8">G23+G17</f>
        <v>0</v>
      </c>
      <c r="H24" s="187">
        <f t="shared" si="8"/>
        <v>0</v>
      </c>
      <c r="I24" s="187">
        <f>I23+I17</f>
        <v>0</v>
      </c>
      <c r="J24" s="187">
        <f t="shared" si="8"/>
        <v>0</v>
      </c>
      <c r="K24" s="187">
        <f t="shared" si="8"/>
        <v>0</v>
      </c>
      <c r="L24" s="187">
        <f t="shared" si="8"/>
        <v>0</v>
      </c>
      <c r="M24" s="187">
        <f t="shared" si="8"/>
        <v>0</v>
      </c>
      <c r="N24" s="187">
        <f t="shared" si="8"/>
        <v>0</v>
      </c>
      <c r="O24" s="187">
        <f t="shared" si="8"/>
        <v>0</v>
      </c>
      <c r="P24" s="187">
        <f t="shared" si="8"/>
        <v>0</v>
      </c>
      <c r="Q24" s="187">
        <f t="shared" si="8"/>
        <v>0</v>
      </c>
      <c r="R24" s="155">
        <f t="shared" si="6"/>
        <v>5990884.5556512456</v>
      </c>
      <c r="S24" s="155">
        <f t="shared" si="1"/>
        <v>10330482.352399999</v>
      </c>
      <c r="T24" s="155">
        <f t="shared" si="2"/>
        <v>16321366.908051247</v>
      </c>
    </row>
    <row r="25" spans="1:21">
      <c r="A25" s="72" t="s">
        <v>97</v>
      </c>
      <c r="B25" s="73" t="s">
        <v>50</v>
      </c>
      <c r="C25" s="187">
        <v>194402.87</v>
      </c>
      <c r="D25" s="187">
        <v>0</v>
      </c>
      <c r="E25" s="187">
        <f>C25+D25</f>
        <v>194402.87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8">
        <v>0</v>
      </c>
      <c r="R25" s="155">
        <f t="shared" si="6"/>
        <v>194402.87</v>
      </c>
      <c r="S25" s="155">
        <f t="shared" si="1"/>
        <v>0</v>
      </c>
      <c r="T25" s="155">
        <f t="shared" si="2"/>
        <v>194402.87</v>
      </c>
    </row>
    <row r="26" spans="1:21">
      <c r="A26" s="45"/>
      <c r="B26" s="74" t="s">
        <v>51</v>
      </c>
      <c r="C26" s="189">
        <f>C24+C25</f>
        <v>6185287.4256512458</v>
      </c>
      <c r="D26" s="186">
        <f>D24+D25</f>
        <v>10330482.352399999</v>
      </c>
      <c r="E26" s="186">
        <f>E24+E25</f>
        <v>16515769.778051246</v>
      </c>
      <c r="F26" s="187">
        <f>F24+F25</f>
        <v>0</v>
      </c>
      <c r="G26" s="187">
        <f t="shared" ref="G26:Q26" si="9">G24+G25</f>
        <v>0</v>
      </c>
      <c r="H26" s="187">
        <f t="shared" si="9"/>
        <v>0</v>
      </c>
      <c r="I26" s="187">
        <f t="shared" si="9"/>
        <v>0</v>
      </c>
      <c r="J26" s="187">
        <f t="shared" si="9"/>
        <v>0</v>
      </c>
      <c r="K26" s="187">
        <f t="shared" si="9"/>
        <v>0</v>
      </c>
      <c r="L26" s="187">
        <f t="shared" si="9"/>
        <v>0</v>
      </c>
      <c r="M26" s="187">
        <f t="shared" si="9"/>
        <v>0</v>
      </c>
      <c r="N26" s="187">
        <f>L26+M26</f>
        <v>0</v>
      </c>
      <c r="O26" s="187">
        <f t="shared" si="9"/>
        <v>0</v>
      </c>
      <c r="P26" s="187">
        <f t="shared" si="9"/>
        <v>0</v>
      </c>
      <c r="Q26" s="187">
        <f t="shared" si="9"/>
        <v>0</v>
      </c>
      <c r="R26" s="155">
        <f t="shared" si="6"/>
        <v>6185287.4256512458</v>
      </c>
      <c r="S26" s="155">
        <f t="shared" si="1"/>
        <v>10330482.352399999</v>
      </c>
      <c r="T26" s="155">
        <f t="shared" si="2"/>
        <v>16515769.778051246</v>
      </c>
    </row>
    <row r="27" spans="1:21">
      <c r="B27" s="1" t="s">
        <v>462</v>
      </c>
      <c r="C27" s="267">
        <f>C26/E26</f>
        <v>0.374507970792329</v>
      </c>
      <c r="D27" s="267">
        <f>D26/E26</f>
        <v>0.625492029207671</v>
      </c>
      <c r="E27" s="267">
        <f t="shared" ref="E27" si="10">E26/$T$26</f>
        <v>1</v>
      </c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6">
        <f>R26/T26</f>
        <v>0.374507970792329</v>
      </c>
      <c r="S27" s="266">
        <f>S26/T26</f>
        <v>0.625492029207671</v>
      </c>
      <c r="T27" s="266">
        <f>T26/T26</f>
        <v>1</v>
      </c>
    </row>
    <row r="28" spans="1:21">
      <c r="B28" s="44"/>
      <c r="C28" s="3"/>
      <c r="D28" s="3"/>
      <c r="E28" s="3"/>
      <c r="F28" s="3"/>
      <c r="G28" s="3"/>
      <c r="I28" s="24"/>
      <c r="J28" s="24"/>
    </row>
    <row r="29" spans="1:21">
      <c r="B29" s="3"/>
      <c r="C29" s="3"/>
      <c r="D29" s="3"/>
      <c r="E29" s="3"/>
      <c r="F29" s="3"/>
      <c r="G29" s="3"/>
      <c r="I29" s="24"/>
      <c r="J29" s="25"/>
    </row>
    <row r="30" spans="1:21">
      <c r="B30" s="2" t="s">
        <v>11</v>
      </c>
      <c r="C30" s="3"/>
      <c r="D30" s="3"/>
      <c r="E30" s="3"/>
      <c r="F30" s="3"/>
      <c r="G30" s="3"/>
    </row>
    <row r="31" spans="1:21">
      <c r="B31" s="3"/>
      <c r="C31" s="3"/>
      <c r="D31" s="3"/>
      <c r="E31" s="3"/>
      <c r="F31" s="3"/>
      <c r="G31" s="3"/>
    </row>
    <row r="32" spans="1:21">
      <c r="B32" s="39" t="s">
        <v>98</v>
      </c>
      <c r="C32" s="39"/>
      <c r="D32" s="40"/>
      <c r="E32" s="39"/>
      <c r="F32" s="39"/>
      <c r="G32" s="39"/>
      <c r="H32" s="39"/>
      <c r="I32" s="38"/>
      <c r="J32" s="38"/>
      <c r="K32" s="38"/>
      <c r="L32" s="34"/>
    </row>
    <row r="33" spans="2:12">
      <c r="B33" s="41" t="s">
        <v>99</v>
      </c>
      <c r="C33" s="41"/>
      <c r="D33" s="42"/>
      <c r="E33" s="39"/>
      <c r="F33" s="39"/>
      <c r="G33" s="39"/>
      <c r="H33" s="39"/>
      <c r="I33" s="38"/>
      <c r="J33" s="38"/>
      <c r="K33" s="38"/>
      <c r="L33" s="34"/>
    </row>
    <row r="34" spans="2:12">
      <c r="B34" s="41" t="s">
        <v>100</v>
      </c>
      <c r="C34" s="41"/>
      <c r="D34" s="40"/>
      <c r="E34" s="39"/>
      <c r="F34" s="39"/>
      <c r="G34" s="39"/>
      <c r="H34" s="39"/>
      <c r="I34" s="38"/>
      <c r="J34" s="38"/>
      <c r="K34" s="38"/>
      <c r="L34" s="34"/>
    </row>
    <row r="35" spans="2:12">
      <c r="B35" s="39"/>
      <c r="C35" s="39"/>
      <c r="D35" s="40"/>
      <c r="E35" s="39"/>
      <c r="F35" s="39"/>
      <c r="G35" s="39"/>
      <c r="H35" s="39"/>
      <c r="I35" s="38"/>
      <c r="J35" s="38"/>
      <c r="K35" s="38"/>
      <c r="L35" s="34"/>
    </row>
    <row r="36" spans="2:12">
      <c r="B36" s="39"/>
      <c r="C36" s="39"/>
      <c r="D36" s="43"/>
      <c r="E36" s="39"/>
      <c r="F36" s="39"/>
      <c r="G36" s="39"/>
      <c r="H36" s="39"/>
      <c r="I36" s="38"/>
      <c r="J36" s="38"/>
      <c r="K36" s="38"/>
      <c r="L36" s="34"/>
    </row>
    <row r="37" spans="2:12">
      <c r="B37" s="35"/>
      <c r="C37" s="35"/>
      <c r="D37" s="36"/>
      <c r="E37" s="36"/>
      <c r="F37" s="37"/>
      <c r="G37" s="35"/>
      <c r="H37" s="35"/>
    </row>
    <row r="38" spans="2:12">
      <c r="B38" s="3"/>
      <c r="C38" s="3"/>
      <c r="D38" s="3"/>
      <c r="E38" s="3"/>
      <c r="F38" s="3"/>
      <c r="G38" s="3"/>
    </row>
    <row r="39" spans="2:12">
      <c r="B39" s="3"/>
      <c r="C39" s="3"/>
      <c r="D39" s="3"/>
      <c r="E39" s="3"/>
      <c r="F39" s="3"/>
      <c r="G39" s="3"/>
    </row>
  </sheetData>
  <mergeCells count="7">
    <mergeCell ref="B4:T4"/>
    <mergeCell ref="R7:T7"/>
    <mergeCell ref="C7:E7"/>
    <mergeCell ref="F7:H7"/>
    <mergeCell ref="I7:K7"/>
    <mergeCell ref="L7:N7"/>
    <mergeCell ref="O7:Q7"/>
  </mergeCells>
  <pageMargins left="0.7" right="0.7" top="0.75" bottom="0.75" header="0.3" footer="0.3"/>
  <pageSetup orientation="portrait" r:id="rId1"/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zoomScale="75" workbookViewId="0">
      <selection activeCell="D21" sqref="D21"/>
    </sheetView>
  </sheetViews>
  <sheetFormatPr baseColWidth="10" defaultRowHeight="12.75"/>
  <cols>
    <col min="1" max="1" width="45.85546875" style="53" customWidth="1"/>
    <col min="2" max="2" width="15" style="53" bestFit="1" customWidth="1"/>
    <col min="3" max="3" width="11.28515625" style="54" customWidth="1"/>
    <col min="4" max="4" width="13.85546875" style="54" customWidth="1"/>
    <col min="5" max="5" width="14.5703125" style="54" bestFit="1" customWidth="1"/>
    <col min="6" max="6" width="13.7109375" style="54" bestFit="1" customWidth="1"/>
    <col min="7" max="7" width="14.28515625" style="54" bestFit="1" customWidth="1"/>
    <col min="8" max="8" width="16.85546875" style="54" customWidth="1"/>
    <col min="9" max="254" width="11.42578125" style="53"/>
    <col min="255" max="255" width="35.85546875" style="53" customWidth="1"/>
    <col min="256" max="256" width="15" style="53" bestFit="1" customWidth="1"/>
    <col min="257" max="257" width="1.140625" style="53" customWidth="1"/>
    <col min="258" max="258" width="9.140625" style="53" customWidth="1"/>
    <col min="259" max="259" width="1.28515625" style="53" customWidth="1"/>
    <col min="260" max="260" width="14" style="53" customWidth="1"/>
    <col min="261" max="261" width="14.5703125" style="53" bestFit="1" customWidth="1"/>
    <col min="262" max="262" width="13.7109375" style="53" bestFit="1" customWidth="1"/>
    <col min="263" max="263" width="14.28515625" style="53" bestFit="1" customWidth="1"/>
    <col min="264" max="264" width="14.5703125" style="53" bestFit="1" customWidth="1"/>
    <col min="265" max="510" width="11.42578125" style="53"/>
    <col min="511" max="511" width="35.85546875" style="53" customWidth="1"/>
    <col min="512" max="512" width="15" style="53" bestFit="1" customWidth="1"/>
    <col min="513" max="513" width="1.140625" style="53" customWidth="1"/>
    <col min="514" max="514" width="9.140625" style="53" customWidth="1"/>
    <col min="515" max="515" width="1.28515625" style="53" customWidth="1"/>
    <col min="516" max="516" width="14" style="53" customWidth="1"/>
    <col min="517" max="517" width="14.5703125" style="53" bestFit="1" customWidth="1"/>
    <col min="518" max="518" width="13.7109375" style="53" bestFit="1" customWidth="1"/>
    <col min="519" max="519" width="14.28515625" style="53" bestFit="1" customWidth="1"/>
    <col min="520" max="520" width="14.5703125" style="53" bestFit="1" customWidth="1"/>
    <col min="521" max="766" width="11.42578125" style="53"/>
    <col min="767" max="767" width="35.85546875" style="53" customWidth="1"/>
    <col min="768" max="768" width="15" style="53" bestFit="1" customWidth="1"/>
    <col min="769" max="769" width="1.140625" style="53" customWidth="1"/>
    <col min="770" max="770" width="9.140625" style="53" customWidth="1"/>
    <col min="771" max="771" width="1.28515625" style="53" customWidth="1"/>
    <col min="772" max="772" width="14" style="53" customWidth="1"/>
    <col min="773" max="773" width="14.5703125" style="53" bestFit="1" customWidth="1"/>
    <col min="774" max="774" width="13.7109375" style="53" bestFit="1" customWidth="1"/>
    <col min="775" max="775" width="14.28515625" style="53" bestFit="1" customWidth="1"/>
    <col min="776" max="776" width="14.5703125" style="53" bestFit="1" customWidth="1"/>
    <col min="777" max="1022" width="11.42578125" style="53"/>
    <col min="1023" max="1023" width="35.85546875" style="53" customWidth="1"/>
    <col min="1024" max="1024" width="15" style="53" bestFit="1" customWidth="1"/>
    <col min="1025" max="1025" width="1.140625" style="53" customWidth="1"/>
    <col min="1026" max="1026" width="9.140625" style="53" customWidth="1"/>
    <col min="1027" max="1027" width="1.28515625" style="53" customWidth="1"/>
    <col min="1028" max="1028" width="14" style="53" customWidth="1"/>
    <col min="1029" max="1029" width="14.5703125" style="53" bestFit="1" customWidth="1"/>
    <col min="1030" max="1030" width="13.7109375" style="53" bestFit="1" customWidth="1"/>
    <col min="1031" max="1031" width="14.28515625" style="53" bestFit="1" customWidth="1"/>
    <col min="1032" max="1032" width="14.5703125" style="53" bestFit="1" customWidth="1"/>
    <col min="1033" max="1278" width="11.42578125" style="53"/>
    <col min="1279" max="1279" width="35.85546875" style="53" customWidth="1"/>
    <col min="1280" max="1280" width="15" style="53" bestFit="1" customWidth="1"/>
    <col min="1281" max="1281" width="1.140625" style="53" customWidth="1"/>
    <col min="1282" max="1282" width="9.140625" style="53" customWidth="1"/>
    <col min="1283" max="1283" width="1.28515625" style="53" customWidth="1"/>
    <col min="1284" max="1284" width="14" style="53" customWidth="1"/>
    <col min="1285" max="1285" width="14.5703125" style="53" bestFit="1" customWidth="1"/>
    <col min="1286" max="1286" width="13.7109375" style="53" bestFit="1" customWidth="1"/>
    <col min="1287" max="1287" width="14.28515625" style="53" bestFit="1" customWidth="1"/>
    <col min="1288" max="1288" width="14.5703125" style="53" bestFit="1" customWidth="1"/>
    <col min="1289" max="1534" width="11.42578125" style="53"/>
    <col min="1535" max="1535" width="35.85546875" style="53" customWidth="1"/>
    <col min="1536" max="1536" width="15" style="53" bestFit="1" customWidth="1"/>
    <col min="1537" max="1537" width="1.140625" style="53" customWidth="1"/>
    <col min="1538" max="1538" width="9.140625" style="53" customWidth="1"/>
    <col min="1539" max="1539" width="1.28515625" style="53" customWidth="1"/>
    <col min="1540" max="1540" width="14" style="53" customWidth="1"/>
    <col min="1541" max="1541" width="14.5703125" style="53" bestFit="1" customWidth="1"/>
    <col min="1542" max="1542" width="13.7109375" style="53" bestFit="1" customWidth="1"/>
    <col min="1543" max="1543" width="14.28515625" style="53" bestFit="1" customWidth="1"/>
    <col min="1544" max="1544" width="14.5703125" style="53" bestFit="1" customWidth="1"/>
    <col min="1545" max="1790" width="11.42578125" style="53"/>
    <col min="1791" max="1791" width="35.85546875" style="53" customWidth="1"/>
    <col min="1792" max="1792" width="15" style="53" bestFit="1" customWidth="1"/>
    <col min="1793" max="1793" width="1.140625" style="53" customWidth="1"/>
    <col min="1794" max="1794" width="9.140625" style="53" customWidth="1"/>
    <col min="1795" max="1795" width="1.28515625" style="53" customWidth="1"/>
    <col min="1796" max="1796" width="14" style="53" customWidth="1"/>
    <col min="1797" max="1797" width="14.5703125" style="53" bestFit="1" customWidth="1"/>
    <col min="1798" max="1798" width="13.7109375" style="53" bestFit="1" customWidth="1"/>
    <col min="1799" max="1799" width="14.28515625" style="53" bestFit="1" customWidth="1"/>
    <col min="1800" max="1800" width="14.5703125" style="53" bestFit="1" customWidth="1"/>
    <col min="1801" max="2046" width="11.42578125" style="53"/>
    <col min="2047" max="2047" width="35.85546875" style="53" customWidth="1"/>
    <col min="2048" max="2048" width="15" style="53" bestFit="1" customWidth="1"/>
    <col min="2049" max="2049" width="1.140625" style="53" customWidth="1"/>
    <col min="2050" max="2050" width="9.140625" style="53" customWidth="1"/>
    <col min="2051" max="2051" width="1.28515625" style="53" customWidth="1"/>
    <col min="2052" max="2052" width="14" style="53" customWidth="1"/>
    <col min="2053" max="2053" width="14.5703125" style="53" bestFit="1" customWidth="1"/>
    <col min="2054" max="2054" width="13.7109375" style="53" bestFit="1" customWidth="1"/>
    <col min="2055" max="2055" width="14.28515625" style="53" bestFit="1" customWidth="1"/>
    <col min="2056" max="2056" width="14.5703125" style="53" bestFit="1" customWidth="1"/>
    <col min="2057" max="2302" width="11.42578125" style="53"/>
    <col min="2303" max="2303" width="35.85546875" style="53" customWidth="1"/>
    <col min="2304" max="2304" width="15" style="53" bestFit="1" customWidth="1"/>
    <col min="2305" max="2305" width="1.140625" style="53" customWidth="1"/>
    <col min="2306" max="2306" width="9.140625" style="53" customWidth="1"/>
    <col min="2307" max="2307" width="1.28515625" style="53" customWidth="1"/>
    <col min="2308" max="2308" width="14" style="53" customWidth="1"/>
    <col min="2309" max="2309" width="14.5703125" style="53" bestFit="1" customWidth="1"/>
    <col min="2310" max="2310" width="13.7109375" style="53" bestFit="1" customWidth="1"/>
    <col min="2311" max="2311" width="14.28515625" style="53" bestFit="1" customWidth="1"/>
    <col min="2312" max="2312" width="14.5703125" style="53" bestFit="1" customWidth="1"/>
    <col min="2313" max="2558" width="11.42578125" style="53"/>
    <col min="2559" max="2559" width="35.85546875" style="53" customWidth="1"/>
    <col min="2560" max="2560" width="15" style="53" bestFit="1" customWidth="1"/>
    <col min="2561" max="2561" width="1.140625" style="53" customWidth="1"/>
    <col min="2562" max="2562" width="9.140625" style="53" customWidth="1"/>
    <col min="2563" max="2563" width="1.28515625" style="53" customWidth="1"/>
    <col min="2564" max="2564" width="14" style="53" customWidth="1"/>
    <col min="2565" max="2565" width="14.5703125" style="53" bestFit="1" customWidth="1"/>
    <col min="2566" max="2566" width="13.7109375" style="53" bestFit="1" customWidth="1"/>
    <col min="2567" max="2567" width="14.28515625" style="53" bestFit="1" customWidth="1"/>
    <col min="2568" max="2568" width="14.5703125" style="53" bestFit="1" customWidth="1"/>
    <col min="2569" max="2814" width="11.42578125" style="53"/>
    <col min="2815" max="2815" width="35.85546875" style="53" customWidth="1"/>
    <col min="2816" max="2816" width="15" style="53" bestFit="1" customWidth="1"/>
    <col min="2817" max="2817" width="1.140625" style="53" customWidth="1"/>
    <col min="2818" max="2818" width="9.140625" style="53" customWidth="1"/>
    <col min="2819" max="2819" width="1.28515625" style="53" customWidth="1"/>
    <col min="2820" max="2820" width="14" style="53" customWidth="1"/>
    <col min="2821" max="2821" width="14.5703125" style="53" bestFit="1" customWidth="1"/>
    <col min="2822" max="2822" width="13.7109375" style="53" bestFit="1" customWidth="1"/>
    <col min="2823" max="2823" width="14.28515625" style="53" bestFit="1" customWidth="1"/>
    <col min="2824" max="2824" width="14.5703125" style="53" bestFit="1" customWidth="1"/>
    <col min="2825" max="3070" width="11.42578125" style="53"/>
    <col min="3071" max="3071" width="35.85546875" style="53" customWidth="1"/>
    <col min="3072" max="3072" width="15" style="53" bestFit="1" customWidth="1"/>
    <col min="3073" max="3073" width="1.140625" style="53" customWidth="1"/>
    <col min="3074" max="3074" width="9.140625" style="53" customWidth="1"/>
    <col min="3075" max="3075" width="1.28515625" style="53" customWidth="1"/>
    <col min="3076" max="3076" width="14" style="53" customWidth="1"/>
    <col min="3077" max="3077" width="14.5703125" style="53" bestFit="1" customWidth="1"/>
    <col min="3078" max="3078" width="13.7109375" style="53" bestFit="1" customWidth="1"/>
    <col min="3079" max="3079" width="14.28515625" style="53" bestFit="1" customWidth="1"/>
    <col min="3080" max="3080" width="14.5703125" style="53" bestFit="1" customWidth="1"/>
    <col min="3081" max="3326" width="11.42578125" style="53"/>
    <col min="3327" max="3327" width="35.85546875" style="53" customWidth="1"/>
    <col min="3328" max="3328" width="15" style="53" bestFit="1" customWidth="1"/>
    <col min="3329" max="3329" width="1.140625" style="53" customWidth="1"/>
    <col min="3330" max="3330" width="9.140625" style="53" customWidth="1"/>
    <col min="3331" max="3331" width="1.28515625" style="53" customWidth="1"/>
    <col min="3332" max="3332" width="14" style="53" customWidth="1"/>
    <col min="3333" max="3333" width="14.5703125" style="53" bestFit="1" customWidth="1"/>
    <col min="3334" max="3334" width="13.7109375" style="53" bestFit="1" customWidth="1"/>
    <col min="3335" max="3335" width="14.28515625" style="53" bestFit="1" customWidth="1"/>
    <col min="3336" max="3336" width="14.5703125" style="53" bestFit="1" customWidth="1"/>
    <col min="3337" max="3582" width="11.42578125" style="53"/>
    <col min="3583" max="3583" width="35.85546875" style="53" customWidth="1"/>
    <col min="3584" max="3584" width="15" style="53" bestFit="1" customWidth="1"/>
    <col min="3585" max="3585" width="1.140625" style="53" customWidth="1"/>
    <col min="3586" max="3586" width="9.140625" style="53" customWidth="1"/>
    <col min="3587" max="3587" width="1.28515625" style="53" customWidth="1"/>
    <col min="3588" max="3588" width="14" style="53" customWidth="1"/>
    <col min="3589" max="3589" width="14.5703125" style="53" bestFit="1" customWidth="1"/>
    <col min="3590" max="3590" width="13.7109375" style="53" bestFit="1" customWidth="1"/>
    <col min="3591" max="3591" width="14.28515625" style="53" bestFit="1" customWidth="1"/>
    <col min="3592" max="3592" width="14.5703125" style="53" bestFit="1" customWidth="1"/>
    <col min="3593" max="3838" width="11.42578125" style="53"/>
    <col min="3839" max="3839" width="35.85546875" style="53" customWidth="1"/>
    <col min="3840" max="3840" width="15" style="53" bestFit="1" customWidth="1"/>
    <col min="3841" max="3841" width="1.140625" style="53" customWidth="1"/>
    <col min="3842" max="3842" width="9.140625" style="53" customWidth="1"/>
    <col min="3843" max="3843" width="1.28515625" style="53" customWidth="1"/>
    <col min="3844" max="3844" width="14" style="53" customWidth="1"/>
    <col min="3845" max="3845" width="14.5703125" style="53" bestFit="1" customWidth="1"/>
    <col min="3846" max="3846" width="13.7109375" style="53" bestFit="1" customWidth="1"/>
    <col min="3847" max="3847" width="14.28515625" style="53" bestFit="1" customWidth="1"/>
    <col min="3848" max="3848" width="14.5703125" style="53" bestFit="1" customWidth="1"/>
    <col min="3849" max="4094" width="11.42578125" style="53"/>
    <col min="4095" max="4095" width="35.85546875" style="53" customWidth="1"/>
    <col min="4096" max="4096" width="15" style="53" bestFit="1" customWidth="1"/>
    <col min="4097" max="4097" width="1.140625" style="53" customWidth="1"/>
    <col min="4098" max="4098" width="9.140625" style="53" customWidth="1"/>
    <col min="4099" max="4099" width="1.28515625" style="53" customWidth="1"/>
    <col min="4100" max="4100" width="14" style="53" customWidth="1"/>
    <col min="4101" max="4101" width="14.5703125" style="53" bestFit="1" customWidth="1"/>
    <col min="4102" max="4102" width="13.7109375" style="53" bestFit="1" customWidth="1"/>
    <col min="4103" max="4103" width="14.28515625" style="53" bestFit="1" customWidth="1"/>
    <col min="4104" max="4104" width="14.5703125" style="53" bestFit="1" customWidth="1"/>
    <col min="4105" max="4350" width="11.42578125" style="53"/>
    <col min="4351" max="4351" width="35.85546875" style="53" customWidth="1"/>
    <col min="4352" max="4352" width="15" style="53" bestFit="1" customWidth="1"/>
    <col min="4353" max="4353" width="1.140625" style="53" customWidth="1"/>
    <col min="4354" max="4354" width="9.140625" style="53" customWidth="1"/>
    <col min="4355" max="4355" width="1.28515625" style="53" customWidth="1"/>
    <col min="4356" max="4356" width="14" style="53" customWidth="1"/>
    <col min="4357" max="4357" width="14.5703125" style="53" bestFit="1" customWidth="1"/>
    <col min="4358" max="4358" width="13.7109375" style="53" bestFit="1" customWidth="1"/>
    <col min="4359" max="4359" width="14.28515625" style="53" bestFit="1" customWidth="1"/>
    <col min="4360" max="4360" width="14.5703125" style="53" bestFit="1" customWidth="1"/>
    <col min="4361" max="4606" width="11.42578125" style="53"/>
    <col min="4607" max="4607" width="35.85546875" style="53" customWidth="1"/>
    <col min="4608" max="4608" width="15" style="53" bestFit="1" customWidth="1"/>
    <col min="4609" max="4609" width="1.140625" style="53" customWidth="1"/>
    <col min="4610" max="4610" width="9.140625" style="53" customWidth="1"/>
    <col min="4611" max="4611" width="1.28515625" style="53" customWidth="1"/>
    <col min="4612" max="4612" width="14" style="53" customWidth="1"/>
    <col min="4613" max="4613" width="14.5703125" style="53" bestFit="1" customWidth="1"/>
    <col min="4614" max="4614" width="13.7109375" style="53" bestFit="1" customWidth="1"/>
    <col min="4615" max="4615" width="14.28515625" style="53" bestFit="1" customWidth="1"/>
    <col min="4616" max="4616" width="14.5703125" style="53" bestFit="1" customWidth="1"/>
    <col min="4617" max="4862" width="11.42578125" style="53"/>
    <col min="4863" max="4863" width="35.85546875" style="53" customWidth="1"/>
    <col min="4864" max="4864" width="15" style="53" bestFit="1" customWidth="1"/>
    <col min="4865" max="4865" width="1.140625" style="53" customWidth="1"/>
    <col min="4866" max="4866" width="9.140625" style="53" customWidth="1"/>
    <col min="4867" max="4867" width="1.28515625" style="53" customWidth="1"/>
    <col min="4868" max="4868" width="14" style="53" customWidth="1"/>
    <col min="4869" max="4869" width="14.5703125" style="53" bestFit="1" customWidth="1"/>
    <col min="4870" max="4870" width="13.7109375" style="53" bestFit="1" customWidth="1"/>
    <col min="4871" max="4871" width="14.28515625" style="53" bestFit="1" customWidth="1"/>
    <col min="4872" max="4872" width="14.5703125" style="53" bestFit="1" customWidth="1"/>
    <col min="4873" max="5118" width="11.42578125" style="53"/>
    <col min="5119" max="5119" width="35.85546875" style="53" customWidth="1"/>
    <col min="5120" max="5120" width="15" style="53" bestFit="1" customWidth="1"/>
    <col min="5121" max="5121" width="1.140625" style="53" customWidth="1"/>
    <col min="5122" max="5122" width="9.140625" style="53" customWidth="1"/>
    <col min="5123" max="5123" width="1.28515625" style="53" customWidth="1"/>
    <col min="5124" max="5124" width="14" style="53" customWidth="1"/>
    <col min="5125" max="5125" width="14.5703125" style="53" bestFit="1" customWidth="1"/>
    <col min="5126" max="5126" width="13.7109375" style="53" bestFit="1" customWidth="1"/>
    <col min="5127" max="5127" width="14.28515625" style="53" bestFit="1" customWidth="1"/>
    <col min="5128" max="5128" width="14.5703125" style="53" bestFit="1" customWidth="1"/>
    <col min="5129" max="5374" width="11.42578125" style="53"/>
    <col min="5375" max="5375" width="35.85546875" style="53" customWidth="1"/>
    <col min="5376" max="5376" width="15" style="53" bestFit="1" customWidth="1"/>
    <col min="5377" max="5377" width="1.140625" style="53" customWidth="1"/>
    <col min="5378" max="5378" width="9.140625" style="53" customWidth="1"/>
    <col min="5379" max="5379" width="1.28515625" style="53" customWidth="1"/>
    <col min="5380" max="5380" width="14" style="53" customWidth="1"/>
    <col min="5381" max="5381" width="14.5703125" style="53" bestFit="1" customWidth="1"/>
    <col min="5382" max="5382" width="13.7109375" style="53" bestFit="1" customWidth="1"/>
    <col min="5383" max="5383" width="14.28515625" style="53" bestFit="1" customWidth="1"/>
    <col min="5384" max="5384" width="14.5703125" style="53" bestFit="1" customWidth="1"/>
    <col min="5385" max="5630" width="11.42578125" style="53"/>
    <col min="5631" max="5631" width="35.85546875" style="53" customWidth="1"/>
    <col min="5632" max="5632" width="15" style="53" bestFit="1" customWidth="1"/>
    <col min="5633" max="5633" width="1.140625" style="53" customWidth="1"/>
    <col min="5634" max="5634" width="9.140625" style="53" customWidth="1"/>
    <col min="5635" max="5635" width="1.28515625" style="53" customWidth="1"/>
    <col min="5636" max="5636" width="14" style="53" customWidth="1"/>
    <col min="5637" max="5637" width="14.5703125" style="53" bestFit="1" customWidth="1"/>
    <col min="5638" max="5638" width="13.7109375" style="53" bestFit="1" customWidth="1"/>
    <col min="5639" max="5639" width="14.28515625" style="53" bestFit="1" customWidth="1"/>
    <col min="5640" max="5640" width="14.5703125" style="53" bestFit="1" customWidth="1"/>
    <col min="5641" max="5886" width="11.42578125" style="53"/>
    <col min="5887" max="5887" width="35.85546875" style="53" customWidth="1"/>
    <col min="5888" max="5888" width="15" style="53" bestFit="1" customWidth="1"/>
    <col min="5889" max="5889" width="1.140625" style="53" customWidth="1"/>
    <col min="5890" max="5890" width="9.140625" style="53" customWidth="1"/>
    <col min="5891" max="5891" width="1.28515625" style="53" customWidth="1"/>
    <col min="5892" max="5892" width="14" style="53" customWidth="1"/>
    <col min="5893" max="5893" width="14.5703125" style="53" bestFit="1" customWidth="1"/>
    <col min="5894" max="5894" width="13.7109375" style="53" bestFit="1" customWidth="1"/>
    <col min="5895" max="5895" width="14.28515625" style="53" bestFit="1" customWidth="1"/>
    <col min="5896" max="5896" width="14.5703125" style="53" bestFit="1" customWidth="1"/>
    <col min="5897" max="6142" width="11.42578125" style="53"/>
    <col min="6143" max="6143" width="35.85546875" style="53" customWidth="1"/>
    <col min="6144" max="6144" width="15" style="53" bestFit="1" customWidth="1"/>
    <col min="6145" max="6145" width="1.140625" style="53" customWidth="1"/>
    <col min="6146" max="6146" width="9.140625" style="53" customWidth="1"/>
    <col min="6147" max="6147" width="1.28515625" style="53" customWidth="1"/>
    <col min="6148" max="6148" width="14" style="53" customWidth="1"/>
    <col min="6149" max="6149" width="14.5703125" style="53" bestFit="1" customWidth="1"/>
    <col min="6150" max="6150" width="13.7109375" style="53" bestFit="1" customWidth="1"/>
    <col min="6151" max="6151" width="14.28515625" style="53" bestFit="1" customWidth="1"/>
    <col min="6152" max="6152" width="14.5703125" style="53" bestFit="1" customWidth="1"/>
    <col min="6153" max="6398" width="11.42578125" style="53"/>
    <col min="6399" max="6399" width="35.85546875" style="53" customWidth="1"/>
    <col min="6400" max="6400" width="15" style="53" bestFit="1" customWidth="1"/>
    <col min="6401" max="6401" width="1.140625" style="53" customWidth="1"/>
    <col min="6402" max="6402" width="9.140625" style="53" customWidth="1"/>
    <col min="6403" max="6403" width="1.28515625" style="53" customWidth="1"/>
    <col min="6404" max="6404" width="14" style="53" customWidth="1"/>
    <col min="6405" max="6405" width="14.5703125" style="53" bestFit="1" customWidth="1"/>
    <col min="6406" max="6406" width="13.7109375" style="53" bestFit="1" customWidth="1"/>
    <col min="6407" max="6407" width="14.28515625" style="53" bestFit="1" customWidth="1"/>
    <col min="6408" max="6408" width="14.5703125" style="53" bestFit="1" customWidth="1"/>
    <col min="6409" max="6654" width="11.42578125" style="53"/>
    <col min="6655" max="6655" width="35.85546875" style="53" customWidth="1"/>
    <col min="6656" max="6656" width="15" style="53" bestFit="1" customWidth="1"/>
    <col min="6657" max="6657" width="1.140625" style="53" customWidth="1"/>
    <col min="6658" max="6658" width="9.140625" style="53" customWidth="1"/>
    <col min="6659" max="6659" width="1.28515625" style="53" customWidth="1"/>
    <col min="6660" max="6660" width="14" style="53" customWidth="1"/>
    <col min="6661" max="6661" width="14.5703125" style="53" bestFit="1" customWidth="1"/>
    <col min="6662" max="6662" width="13.7109375" style="53" bestFit="1" customWidth="1"/>
    <col min="6663" max="6663" width="14.28515625" style="53" bestFit="1" customWidth="1"/>
    <col min="6664" max="6664" width="14.5703125" style="53" bestFit="1" customWidth="1"/>
    <col min="6665" max="6910" width="11.42578125" style="53"/>
    <col min="6911" max="6911" width="35.85546875" style="53" customWidth="1"/>
    <col min="6912" max="6912" width="15" style="53" bestFit="1" customWidth="1"/>
    <col min="6913" max="6913" width="1.140625" style="53" customWidth="1"/>
    <col min="6914" max="6914" width="9.140625" style="53" customWidth="1"/>
    <col min="6915" max="6915" width="1.28515625" style="53" customWidth="1"/>
    <col min="6916" max="6916" width="14" style="53" customWidth="1"/>
    <col min="6917" max="6917" width="14.5703125" style="53" bestFit="1" customWidth="1"/>
    <col min="6918" max="6918" width="13.7109375" style="53" bestFit="1" customWidth="1"/>
    <col min="6919" max="6919" width="14.28515625" style="53" bestFit="1" customWidth="1"/>
    <col min="6920" max="6920" width="14.5703125" style="53" bestFit="1" customWidth="1"/>
    <col min="6921" max="7166" width="11.42578125" style="53"/>
    <col min="7167" max="7167" width="35.85546875" style="53" customWidth="1"/>
    <col min="7168" max="7168" width="15" style="53" bestFit="1" customWidth="1"/>
    <col min="7169" max="7169" width="1.140625" style="53" customWidth="1"/>
    <col min="7170" max="7170" width="9.140625" style="53" customWidth="1"/>
    <col min="7171" max="7171" width="1.28515625" style="53" customWidth="1"/>
    <col min="7172" max="7172" width="14" style="53" customWidth="1"/>
    <col min="7173" max="7173" width="14.5703125" style="53" bestFit="1" customWidth="1"/>
    <col min="7174" max="7174" width="13.7109375" style="53" bestFit="1" customWidth="1"/>
    <col min="7175" max="7175" width="14.28515625" style="53" bestFit="1" customWidth="1"/>
    <col min="7176" max="7176" width="14.5703125" style="53" bestFit="1" customWidth="1"/>
    <col min="7177" max="7422" width="11.42578125" style="53"/>
    <col min="7423" max="7423" width="35.85546875" style="53" customWidth="1"/>
    <col min="7424" max="7424" width="15" style="53" bestFit="1" customWidth="1"/>
    <col min="7425" max="7425" width="1.140625" style="53" customWidth="1"/>
    <col min="7426" max="7426" width="9.140625" style="53" customWidth="1"/>
    <col min="7427" max="7427" width="1.28515625" style="53" customWidth="1"/>
    <col min="7428" max="7428" width="14" style="53" customWidth="1"/>
    <col min="7429" max="7429" width="14.5703125" style="53" bestFit="1" customWidth="1"/>
    <col min="7430" max="7430" width="13.7109375" style="53" bestFit="1" customWidth="1"/>
    <col min="7431" max="7431" width="14.28515625" style="53" bestFit="1" customWidth="1"/>
    <col min="7432" max="7432" width="14.5703125" style="53" bestFit="1" customWidth="1"/>
    <col min="7433" max="7678" width="11.42578125" style="53"/>
    <col min="7679" max="7679" width="35.85546875" style="53" customWidth="1"/>
    <col min="7680" max="7680" width="15" style="53" bestFit="1" customWidth="1"/>
    <col min="7681" max="7681" width="1.140625" style="53" customWidth="1"/>
    <col min="7682" max="7682" width="9.140625" style="53" customWidth="1"/>
    <col min="7683" max="7683" width="1.28515625" style="53" customWidth="1"/>
    <col min="7684" max="7684" width="14" style="53" customWidth="1"/>
    <col min="7685" max="7685" width="14.5703125" style="53" bestFit="1" customWidth="1"/>
    <col min="7686" max="7686" width="13.7109375" style="53" bestFit="1" customWidth="1"/>
    <col min="7687" max="7687" width="14.28515625" style="53" bestFit="1" customWidth="1"/>
    <col min="7688" max="7688" width="14.5703125" style="53" bestFit="1" customWidth="1"/>
    <col min="7689" max="7934" width="11.42578125" style="53"/>
    <col min="7935" max="7935" width="35.85546875" style="53" customWidth="1"/>
    <col min="7936" max="7936" width="15" style="53" bestFit="1" customWidth="1"/>
    <col min="7937" max="7937" width="1.140625" style="53" customWidth="1"/>
    <col min="7938" max="7938" width="9.140625" style="53" customWidth="1"/>
    <col min="7939" max="7939" width="1.28515625" style="53" customWidth="1"/>
    <col min="7940" max="7940" width="14" style="53" customWidth="1"/>
    <col min="7941" max="7941" width="14.5703125" style="53" bestFit="1" customWidth="1"/>
    <col min="7942" max="7942" width="13.7109375" style="53" bestFit="1" customWidth="1"/>
    <col min="7943" max="7943" width="14.28515625" style="53" bestFit="1" customWidth="1"/>
    <col min="7944" max="7944" width="14.5703125" style="53" bestFit="1" customWidth="1"/>
    <col min="7945" max="8190" width="11.42578125" style="53"/>
    <col min="8191" max="8191" width="35.85546875" style="53" customWidth="1"/>
    <col min="8192" max="8192" width="15" style="53" bestFit="1" customWidth="1"/>
    <col min="8193" max="8193" width="1.140625" style="53" customWidth="1"/>
    <col min="8194" max="8194" width="9.140625" style="53" customWidth="1"/>
    <col min="8195" max="8195" width="1.28515625" style="53" customWidth="1"/>
    <col min="8196" max="8196" width="14" style="53" customWidth="1"/>
    <col min="8197" max="8197" width="14.5703125" style="53" bestFit="1" customWidth="1"/>
    <col min="8198" max="8198" width="13.7109375" style="53" bestFit="1" customWidth="1"/>
    <col min="8199" max="8199" width="14.28515625" style="53" bestFit="1" customWidth="1"/>
    <col min="8200" max="8200" width="14.5703125" style="53" bestFit="1" customWidth="1"/>
    <col min="8201" max="8446" width="11.42578125" style="53"/>
    <col min="8447" max="8447" width="35.85546875" style="53" customWidth="1"/>
    <col min="8448" max="8448" width="15" style="53" bestFit="1" customWidth="1"/>
    <col min="8449" max="8449" width="1.140625" style="53" customWidth="1"/>
    <col min="8450" max="8450" width="9.140625" style="53" customWidth="1"/>
    <col min="8451" max="8451" width="1.28515625" style="53" customWidth="1"/>
    <col min="8452" max="8452" width="14" style="53" customWidth="1"/>
    <col min="8453" max="8453" width="14.5703125" style="53" bestFit="1" customWidth="1"/>
    <col min="8454" max="8454" width="13.7109375" style="53" bestFit="1" customWidth="1"/>
    <col min="8455" max="8455" width="14.28515625" style="53" bestFit="1" customWidth="1"/>
    <col min="8456" max="8456" width="14.5703125" style="53" bestFit="1" customWidth="1"/>
    <col min="8457" max="8702" width="11.42578125" style="53"/>
    <col min="8703" max="8703" width="35.85546875" style="53" customWidth="1"/>
    <col min="8704" max="8704" width="15" style="53" bestFit="1" customWidth="1"/>
    <col min="8705" max="8705" width="1.140625" style="53" customWidth="1"/>
    <col min="8706" max="8706" width="9.140625" style="53" customWidth="1"/>
    <col min="8707" max="8707" width="1.28515625" style="53" customWidth="1"/>
    <col min="8708" max="8708" width="14" style="53" customWidth="1"/>
    <col min="8709" max="8709" width="14.5703125" style="53" bestFit="1" customWidth="1"/>
    <col min="8710" max="8710" width="13.7109375" style="53" bestFit="1" customWidth="1"/>
    <col min="8711" max="8711" width="14.28515625" style="53" bestFit="1" customWidth="1"/>
    <col min="8712" max="8712" width="14.5703125" style="53" bestFit="1" customWidth="1"/>
    <col min="8713" max="8958" width="11.42578125" style="53"/>
    <col min="8959" max="8959" width="35.85546875" style="53" customWidth="1"/>
    <col min="8960" max="8960" width="15" style="53" bestFit="1" customWidth="1"/>
    <col min="8961" max="8961" width="1.140625" style="53" customWidth="1"/>
    <col min="8962" max="8962" width="9.140625" style="53" customWidth="1"/>
    <col min="8963" max="8963" width="1.28515625" style="53" customWidth="1"/>
    <col min="8964" max="8964" width="14" style="53" customWidth="1"/>
    <col min="8965" max="8965" width="14.5703125" style="53" bestFit="1" customWidth="1"/>
    <col min="8966" max="8966" width="13.7109375" style="53" bestFit="1" customWidth="1"/>
    <col min="8967" max="8967" width="14.28515625" style="53" bestFit="1" customWidth="1"/>
    <col min="8968" max="8968" width="14.5703125" style="53" bestFit="1" customWidth="1"/>
    <col min="8969" max="9214" width="11.42578125" style="53"/>
    <col min="9215" max="9215" width="35.85546875" style="53" customWidth="1"/>
    <col min="9216" max="9216" width="15" style="53" bestFit="1" customWidth="1"/>
    <col min="9217" max="9217" width="1.140625" style="53" customWidth="1"/>
    <col min="9218" max="9218" width="9.140625" style="53" customWidth="1"/>
    <col min="9219" max="9219" width="1.28515625" style="53" customWidth="1"/>
    <col min="9220" max="9220" width="14" style="53" customWidth="1"/>
    <col min="9221" max="9221" width="14.5703125" style="53" bestFit="1" customWidth="1"/>
    <col min="9222" max="9222" width="13.7109375" style="53" bestFit="1" customWidth="1"/>
    <col min="9223" max="9223" width="14.28515625" style="53" bestFit="1" customWidth="1"/>
    <col min="9224" max="9224" width="14.5703125" style="53" bestFit="1" customWidth="1"/>
    <col min="9225" max="9470" width="11.42578125" style="53"/>
    <col min="9471" max="9471" width="35.85546875" style="53" customWidth="1"/>
    <col min="9472" max="9472" width="15" style="53" bestFit="1" customWidth="1"/>
    <col min="9473" max="9473" width="1.140625" style="53" customWidth="1"/>
    <col min="9474" max="9474" width="9.140625" style="53" customWidth="1"/>
    <col min="9475" max="9475" width="1.28515625" style="53" customWidth="1"/>
    <col min="9476" max="9476" width="14" style="53" customWidth="1"/>
    <col min="9477" max="9477" width="14.5703125" style="53" bestFit="1" customWidth="1"/>
    <col min="9478" max="9478" width="13.7109375" style="53" bestFit="1" customWidth="1"/>
    <col min="9479" max="9479" width="14.28515625" style="53" bestFit="1" customWidth="1"/>
    <col min="9480" max="9480" width="14.5703125" style="53" bestFit="1" customWidth="1"/>
    <col min="9481" max="9726" width="11.42578125" style="53"/>
    <col min="9727" max="9727" width="35.85546875" style="53" customWidth="1"/>
    <col min="9728" max="9728" width="15" style="53" bestFit="1" customWidth="1"/>
    <col min="9729" max="9729" width="1.140625" style="53" customWidth="1"/>
    <col min="9730" max="9730" width="9.140625" style="53" customWidth="1"/>
    <col min="9731" max="9731" width="1.28515625" style="53" customWidth="1"/>
    <col min="9732" max="9732" width="14" style="53" customWidth="1"/>
    <col min="9733" max="9733" width="14.5703125" style="53" bestFit="1" customWidth="1"/>
    <col min="9734" max="9734" width="13.7109375" style="53" bestFit="1" customWidth="1"/>
    <col min="9735" max="9735" width="14.28515625" style="53" bestFit="1" customWidth="1"/>
    <col min="9736" max="9736" width="14.5703125" style="53" bestFit="1" customWidth="1"/>
    <col min="9737" max="9982" width="11.42578125" style="53"/>
    <col min="9983" max="9983" width="35.85546875" style="53" customWidth="1"/>
    <col min="9984" max="9984" width="15" style="53" bestFit="1" customWidth="1"/>
    <col min="9985" max="9985" width="1.140625" style="53" customWidth="1"/>
    <col min="9986" max="9986" width="9.140625" style="53" customWidth="1"/>
    <col min="9987" max="9987" width="1.28515625" style="53" customWidth="1"/>
    <col min="9988" max="9988" width="14" style="53" customWidth="1"/>
    <col min="9989" max="9989" width="14.5703125" style="53" bestFit="1" customWidth="1"/>
    <col min="9990" max="9990" width="13.7109375" style="53" bestFit="1" customWidth="1"/>
    <col min="9991" max="9991" width="14.28515625" style="53" bestFit="1" customWidth="1"/>
    <col min="9992" max="9992" width="14.5703125" style="53" bestFit="1" customWidth="1"/>
    <col min="9993" max="10238" width="11.42578125" style="53"/>
    <col min="10239" max="10239" width="35.85546875" style="53" customWidth="1"/>
    <col min="10240" max="10240" width="15" style="53" bestFit="1" customWidth="1"/>
    <col min="10241" max="10241" width="1.140625" style="53" customWidth="1"/>
    <col min="10242" max="10242" width="9.140625" style="53" customWidth="1"/>
    <col min="10243" max="10243" width="1.28515625" style="53" customWidth="1"/>
    <col min="10244" max="10244" width="14" style="53" customWidth="1"/>
    <col min="10245" max="10245" width="14.5703125" style="53" bestFit="1" customWidth="1"/>
    <col min="10246" max="10246" width="13.7109375" style="53" bestFit="1" customWidth="1"/>
    <col min="10247" max="10247" width="14.28515625" style="53" bestFit="1" customWidth="1"/>
    <col min="10248" max="10248" width="14.5703125" style="53" bestFit="1" customWidth="1"/>
    <col min="10249" max="10494" width="11.42578125" style="53"/>
    <col min="10495" max="10495" width="35.85546875" style="53" customWidth="1"/>
    <col min="10496" max="10496" width="15" style="53" bestFit="1" customWidth="1"/>
    <col min="10497" max="10497" width="1.140625" style="53" customWidth="1"/>
    <col min="10498" max="10498" width="9.140625" style="53" customWidth="1"/>
    <col min="10499" max="10499" width="1.28515625" style="53" customWidth="1"/>
    <col min="10500" max="10500" width="14" style="53" customWidth="1"/>
    <col min="10501" max="10501" width="14.5703125" style="53" bestFit="1" customWidth="1"/>
    <col min="10502" max="10502" width="13.7109375" style="53" bestFit="1" customWidth="1"/>
    <col min="10503" max="10503" width="14.28515625" style="53" bestFit="1" customWidth="1"/>
    <col min="10504" max="10504" width="14.5703125" style="53" bestFit="1" customWidth="1"/>
    <col min="10505" max="10750" width="11.42578125" style="53"/>
    <col min="10751" max="10751" width="35.85546875" style="53" customWidth="1"/>
    <col min="10752" max="10752" width="15" style="53" bestFit="1" customWidth="1"/>
    <col min="10753" max="10753" width="1.140625" style="53" customWidth="1"/>
    <col min="10754" max="10754" width="9.140625" style="53" customWidth="1"/>
    <col min="10755" max="10755" width="1.28515625" style="53" customWidth="1"/>
    <col min="10756" max="10756" width="14" style="53" customWidth="1"/>
    <col min="10757" max="10757" width="14.5703125" style="53" bestFit="1" customWidth="1"/>
    <col min="10758" max="10758" width="13.7109375" style="53" bestFit="1" customWidth="1"/>
    <col min="10759" max="10759" width="14.28515625" style="53" bestFit="1" customWidth="1"/>
    <col min="10760" max="10760" width="14.5703125" style="53" bestFit="1" customWidth="1"/>
    <col min="10761" max="11006" width="11.42578125" style="53"/>
    <col min="11007" max="11007" width="35.85546875" style="53" customWidth="1"/>
    <col min="11008" max="11008" width="15" style="53" bestFit="1" customWidth="1"/>
    <col min="11009" max="11009" width="1.140625" style="53" customWidth="1"/>
    <col min="11010" max="11010" width="9.140625" style="53" customWidth="1"/>
    <col min="11011" max="11011" width="1.28515625" style="53" customWidth="1"/>
    <col min="11012" max="11012" width="14" style="53" customWidth="1"/>
    <col min="11013" max="11013" width="14.5703125" style="53" bestFit="1" customWidth="1"/>
    <col min="11014" max="11014" width="13.7109375" style="53" bestFit="1" customWidth="1"/>
    <col min="11015" max="11015" width="14.28515625" style="53" bestFit="1" customWidth="1"/>
    <col min="11016" max="11016" width="14.5703125" style="53" bestFit="1" customWidth="1"/>
    <col min="11017" max="11262" width="11.42578125" style="53"/>
    <col min="11263" max="11263" width="35.85546875" style="53" customWidth="1"/>
    <col min="11264" max="11264" width="15" style="53" bestFit="1" customWidth="1"/>
    <col min="11265" max="11265" width="1.140625" style="53" customWidth="1"/>
    <col min="11266" max="11266" width="9.140625" style="53" customWidth="1"/>
    <col min="11267" max="11267" width="1.28515625" style="53" customWidth="1"/>
    <col min="11268" max="11268" width="14" style="53" customWidth="1"/>
    <col min="11269" max="11269" width="14.5703125" style="53" bestFit="1" customWidth="1"/>
    <col min="11270" max="11270" width="13.7109375" style="53" bestFit="1" customWidth="1"/>
    <col min="11271" max="11271" width="14.28515625" style="53" bestFit="1" customWidth="1"/>
    <col min="11272" max="11272" width="14.5703125" style="53" bestFit="1" customWidth="1"/>
    <col min="11273" max="11518" width="11.42578125" style="53"/>
    <col min="11519" max="11519" width="35.85546875" style="53" customWidth="1"/>
    <col min="11520" max="11520" width="15" style="53" bestFit="1" customWidth="1"/>
    <col min="11521" max="11521" width="1.140625" style="53" customWidth="1"/>
    <col min="11522" max="11522" width="9.140625" style="53" customWidth="1"/>
    <col min="11523" max="11523" width="1.28515625" style="53" customWidth="1"/>
    <col min="11524" max="11524" width="14" style="53" customWidth="1"/>
    <col min="11525" max="11525" width="14.5703125" style="53" bestFit="1" customWidth="1"/>
    <col min="11526" max="11526" width="13.7109375" style="53" bestFit="1" customWidth="1"/>
    <col min="11527" max="11527" width="14.28515625" style="53" bestFit="1" customWidth="1"/>
    <col min="11528" max="11528" width="14.5703125" style="53" bestFit="1" customWidth="1"/>
    <col min="11529" max="11774" width="11.42578125" style="53"/>
    <col min="11775" max="11775" width="35.85546875" style="53" customWidth="1"/>
    <col min="11776" max="11776" width="15" style="53" bestFit="1" customWidth="1"/>
    <col min="11777" max="11777" width="1.140625" style="53" customWidth="1"/>
    <col min="11778" max="11778" width="9.140625" style="53" customWidth="1"/>
    <col min="11779" max="11779" width="1.28515625" style="53" customWidth="1"/>
    <col min="11780" max="11780" width="14" style="53" customWidth="1"/>
    <col min="11781" max="11781" width="14.5703125" style="53" bestFit="1" customWidth="1"/>
    <col min="11782" max="11782" width="13.7109375" style="53" bestFit="1" customWidth="1"/>
    <col min="11783" max="11783" width="14.28515625" style="53" bestFit="1" customWidth="1"/>
    <col min="11784" max="11784" width="14.5703125" style="53" bestFit="1" customWidth="1"/>
    <col min="11785" max="12030" width="11.42578125" style="53"/>
    <col min="12031" max="12031" width="35.85546875" style="53" customWidth="1"/>
    <col min="12032" max="12032" width="15" style="53" bestFit="1" customWidth="1"/>
    <col min="12033" max="12033" width="1.140625" style="53" customWidth="1"/>
    <col min="12034" max="12034" width="9.140625" style="53" customWidth="1"/>
    <col min="12035" max="12035" width="1.28515625" style="53" customWidth="1"/>
    <col min="12036" max="12036" width="14" style="53" customWidth="1"/>
    <col min="12037" max="12037" width="14.5703125" style="53" bestFit="1" customWidth="1"/>
    <col min="12038" max="12038" width="13.7109375" style="53" bestFit="1" customWidth="1"/>
    <col min="12039" max="12039" width="14.28515625" style="53" bestFit="1" customWidth="1"/>
    <col min="12040" max="12040" width="14.5703125" style="53" bestFit="1" customWidth="1"/>
    <col min="12041" max="12286" width="11.42578125" style="53"/>
    <col min="12287" max="12287" width="35.85546875" style="53" customWidth="1"/>
    <col min="12288" max="12288" width="15" style="53" bestFit="1" customWidth="1"/>
    <col min="12289" max="12289" width="1.140625" style="53" customWidth="1"/>
    <col min="12290" max="12290" width="9.140625" style="53" customWidth="1"/>
    <col min="12291" max="12291" width="1.28515625" style="53" customWidth="1"/>
    <col min="12292" max="12292" width="14" style="53" customWidth="1"/>
    <col min="12293" max="12293" width="14.5703125" style="53" bestFit="1" customWidth="1"/>
    <col min="12294" max="12294" width="13.7109375" style="53" bestFit="1" customWidth="1"/>
    <col min="12295" max="12295" width="14.28515625" style="53" bestFit="1" customWidth="1"/>
    <col min="12296" max="12296" width="14.5703125" style="53" bestFit="1" customWidth="1"/>
    <col min="12297" max="12542" width="11.42578125" style="53"/>
    <col min="12543" max="12543" width="35.85546875" style="53" customWidth="1"/>
    <col min="12544" max="12544" width="15" style="53" bestFit="1" customWidth="1"/>
    <col min="12545" max="12545" width="1.140625" style="53" customWidth="1"/>
    <col min="12546" max="12546" width="9.140625" style="53" customWidth="1"/>
    <col min="12547" max="12547" width="1.28515625" style="53" customWidth="1"/>
    <col min="12548" max="12548" width="14" style="53" customWidth="1"/>
    <col min="12549" max="12549" width="14.5703125" style="53" bestFit="1" customWidth="1"/>
    <col min="12550" max="12550" width="13.7109375" style="53" bestFit="1" customWidth="1"/>
    <col min="12551" max="12551" width="14.28515625" style="53" bestFit="1" customWidth="1"/>
    <col min="12552" max="12552" width="14.5703125" style="53" bestFit="1" customWidth="1"/>
    <col min="12553" max="12798" width="11.42578125" style="53"/>
    <col min="12799" max="12799" width="35.85546875" style="53" customWidth="1"/>
    <col min="12800" max="12800" width="15" style="53" bestFit="1" customWidth="1"/>
    <col min="12801" max="12801" width="1.140625" style="53" customWidth="1"/>
    <col min="12802" max="12802" width="9.140625" style="53" customWidth="1"/>
    <col min="12803" max="12803" width="1.28515625" style="53" customWidth="1"/>
    <col min="12804" max="12804" width="14" style="53" customWidth="1"/>
    <col min="12805" max="12805" width="14.5703125" style="53" bestFit="1" customWidth="1"/>
    <col min="12806" max="12806" width="13.7109375" style="53" bestFit="1" customWidth="1"/>
    <col min="12807" max="12807" width="14.28515625" style="53" bestFit="1" customWidth="1"/>
    <col min="12808" max="12808" width="14.5703125" style="53" bestFit="1" customWidth="1"/>
    <col min="12809" max="13054" width="11.42578125" style="53"/>
    <col min="13055" max="13055" width="35.85546875" style="53" customWidth="1"/>
    <col min="13056" max="13056" width="15" style="53" bestFit="1" customWidth="1"/>
    <col min="13057" max="13057" width="1.140625" style="53" customWidth="1"/>
    <col min="13058" max="13058" width="9.140625" style="53" customWidth="1"/>
    <col min="13059" max="13059" width="1.28515625" style="53" customWidth="1"/>
    <col min="13060" max="13060" width="14" style="53" customWidth="1"/>
    <col min="13061" max="13061" width="14.5703125" style="53" bestFit="1" customWidth="1"/>
    <col min="13062" max="13062" width="13.7109375" style="53" bestFit="1" customWidth="1"/>
    <col min="13063" max="13063" width="14.28515625" style="53" bestFit="1" customWidth="1"/>
    <col min="13064" max="13064" width="14.5703125" style="53" bestFit="1" customWidth="1"/>
    <col min="13065" max="13310" width="11.42578125" style="53"/>
    <col min="13311" max="13311" width="35.85546875" style="53" customWidth="1"/>
    <col min="13312" max="13312" width="15" style="53" bestFit="1" customWidth="1"/>
    <col min="13313" max="13313" width="1.140625" style="53" customWidth="1"/>
    <col min="13314" max="13314" width="9.140625" style="53" customWidth="1"/>
    <col min="13315" max="13315" width="1.28515625" style="53" customWidth="1"/>
    <col min="13316" max="13316" width="14" style="53" customWidth="1"/>
    <col min="13317" max="13317" width="14.5703125" style="53" bestFit="1" customWidth="1"/>
    <col min="13318" max="13318" width="13.7109375" style="53" bestFit="1" customWidth="1"/>
    <col min="13319" max="13319" width="14.28515625" style="53" bestFit="1" customWidth="1"/>
    <col min="13320" max="13320" width="14.5703125" style="53" bestFit="1" customWidth="1"/>
    <col min="13321" max="13566" width="11.42578125" style="53"/>
    <col min="13567" max="13567" width="35.85546875" style="53" customWidth="1"/>
    <col min="13568" max="13568" width="15" style="53" bestFit="1" customWidth="1"/>
    <col min="13569" max="13569" width="1.140625" style="53" customWidth="1"/>
    <col min="13570" max="13570" width="9.140625" style="53" customWidth="1"/>
    <col min="13571" max="13571" width="1.28515625" style="53" customWidth="1"/>
    <col min="13572" max="13572" width="14" style="53" customWidth="1"/>
    <col min="13573" max="13573" width="14.5703125" style="53" bestFit="1" customWidth="1"/>
    <col min="13574" max="13574" width="13.7109375" style="53" bestFit="1" customWidth="1"/>
    <col min="13575" max="13575" width="14.28515625" style="53" bestFit="1" customWidth="1"/>
    <col min="13576" max="13576" width="14.5703125" style="53" bestFit="1" customWidth="1"/>
    <col min="13577" max="13822" width="11.42578125" style="53"/>
    <col min="13823" max="13823" width="35.85546875" style="53" customWidth="1"/>
    <col min="13824" max="13824" width="15" style="53" bestFit="1" customWidth="1"/>
    <col min="13825" max="13825" width="1.140625" style="53" customWidth="1"/>
    <col min="13826" max="13826" width="9.140625" style="53" customWidth="1"/>
    <col min="13827" max="13827" width="1.28515625" style="53" customWidth="1"/>
    <col min="13828" max="13828" width="14" style="53" customWidth="1"/>
    <col min="13829" max="13829" width="14.5703125" style="53" bestFit="1" customWidth="1"/>
    <col min="13830" max="13830" width="13.7109375" style="53" bestFit="1" customWidth="1"/>
    <col min="13831" max="13831" width="14.28515625" style="53" bestFit="1" customWidth="1"/>
    <col min="13832" max="13832" width="14.5703125" style="53" bestFit="1" customWidth="1"/>
    <col min="13833" max="14078" width="11.42578125" style="53"/>
    <col min="14079" max="14079" width="35.85546875" style="53" customWidth="1"/>
    <col min="14080" max="14080" width="15" style="53" bestFit="1" customWidth="1"/>
    <col min="14081" max="14081" width="1.140625" style="53" customWidth="1"/>
    <col min="14082" max="14082" width="9.140625" style="53" customWidth="1"/>
    <col min="14083" max="14083" width="1.28515625" style="53" customWidth="1"/>
    <col min="14084" max="14084" width="14" style="53" customWidth="1"/>
    <col min="14085" max="14085" width="14.5703125" style="53" bestFit="1" customWidth="1"/>
    <col min="14086" max="14086" width="13.7109375" style="53" bestFit="1" customWidth="1"/>
    <col min="14087" max="14087" width="14.28515625" style="53" bestFit="1" customWidth="1"/>
    <col min="14088" max="14088" width="14.5703125" style="53" bestFit="1" customWidth="1"/>
    <col min="14089" max="14334" width="11.42578125" style="53"/>
    <col min="14335" max="14335" width="35.85546875" style="53" customWidth="1"/>
    <col min="14336" max="14336" width="15" style="53" bestFit="1" customWidth="1"/>
    <col min="14337" max="14337" width="1.140625" style="53" customWidth="1"/>
    <col min="14338" max="14338" width="9.140625" style="53" customWidth="1"/>
    <col min="14339" max="14339" width="1.28515625" style="53" customWidth="1"/>
    <col min="14340" max="14340" width="14" style="53" customWidth="1"/>
    <col min="14341" max="14341" width="14.5703125" style="53" bestFit="1" customWidth="1"/>
    <col min="14342" max="14342" width="13.7109375" style="53" bestFit="1" customWidth="1"/>
    <col min="14343" max="14343" width="14.28515625" style="53" bestFit="1" customWidth="1"/>
    <col min="14344" max="14344" width="14.5703125" style="53" bestFit="1" customWidth="1"/>
    <col min="14345" max="14590" width="11.42578125" style="53"/>
    <col min="14591" max="14591" width="35.85546875" style="53" customWidth="1"/>
    <col min="14592" max="14592" width="15" style="53" bestFit="1" customWidth="1"/>
    <col min="14593" max="14593" width="1.140625" style="53" customWidth="1"/>
    <col min="14594" max="14594" width="9.140625" style="53" customWidth="1"/>
    <col min="14595" max="14595" width="1.28515625" style="53" customWidth="1"/>
    <col min="14596" max="14596" width="14" style="53" customWidth="1"/>
    <col min="14597" max="14597" width="14.5703125" style="53" bestFit="1" customWidth="1"/>
    <col min="14598" max="14598" width="13.7109375" style="53" bestFit="1" customWidth="1"/>
    <col min="14599" max="14599" width="14.28515625" style="53" bestFit="1" customWidth="1"/>
    <col min="14600" max="14600" width="14.5703125" style="53" bestFit="1" customWidth="1"/>
    <col min="14601" max="14846" width="11.42578125" style="53"/>
    <col min="14847" max="14847" width="35.85546875" style="53" customWidth="1"/>
    <col min="14848" max="14848" width="15" style="53" bestFit="1" customWidth="1"/>
    <col min="14849" max="14849" width="1.140625" style="53" customWidth="1"/>
    <col min="14850" max="14850" width="9.140625" style="53" customWidth="1"/>
    <col min="14851" max="14851" width="1.28515625" style="53" customWidth="1"/>
    <col min="14852" max="14852" width="14" style="53" customWidth="1"/>
    <col min="14853" max="14853" width="14.5703125" style="53" bestFit="1" customWidth="1"/>
    <col min="14854" max="14854" width="13.7109375" style="53" bestFit="1" customWidth="1"/>
    <col min="14855" max="14855" width="14.28515625" style="53" bestFit="1" customWidth="1"/>
    <col min="14856" max="14856" width="14.5703125" style="53" bestFit="1" customWidth="1"/>
    <col min="14857" max="15102" width="11.42578125" style="53"/>
    <col min="15103" max="15103" width="35.85546875" style="53" customWidth="1"/>
    <col min="15104" max="15104" width="15" style="53" bestFit="1" customWidth="1"/>
    <col min="15105" max="15105" width="1.140625" style="53" customWidth="1"/>
    <col min="15106" max="15106" width="9.140625" style="53" customWidth="1"/>
    <col min="15107" max="15107" width="1.28515625" style="53" customWidth="1"/>
    <col min="15108" max="15108" width="14" style="53" customWidth="1"/>
    <col min="15109" max="15109" width="14.5703125" style="53" bestFit="1" customWidth="1"/>
    <col min="15110" max="15110" width="13.7109375" style="53" bestFit="1" customWidth="1"/>
    <col min="15111" max="15111" width="14.28515625" style="53" bestFit="1" customWidth="1"/>
    <col min="15112" max="15112" width="14.5703125" style="53" bestFit="1" customWidth="1"/>
    <col min="15113" max="15358" width="11.42578125" style="53"/>
    <col min="15359" max="15359" width="35.85546875" style="53" customWidth="1"/>
    <col min="15360" max="15360" width="15" style="53" bestFit="1" customWidth="1"/>
    <col min="15361" max="15361" width="1.140625" style="53" customWidth="1"/>
    <col min="15362" max="15362" width="9.140625" style="53" customWidth="1"/>
    <col min="15363" max="15363" width="1.28515625" style="53" customWidth="1"/>
    <col min="15364" max="15364" width="14" style="53" customWidth="1"/>
    <col min="15365" max="15365" width="14.5703125" style="53" bestFit="1" customWidth="1"/>
    <col min="15366" max="15366" width="13.7109375" style="53" bestFit="1" customWidth="1"/>
    <col min="15367" max="15367" width="14.28515625" style="53" bestFit="1" customWidth="1"/>
    <col min="15368" max="15368" width="14.5703125" style="53" bestFit="1" customWidth="1"/>
    <col min="15369" max="15614" width="11.42578125" style="53"/>
    <col min="15615" max="15615" width="35.85546875" style="53" customWidth="1"/>
    <col min="15616" max="15616" width="15" style="53" bestFit="1" customWidth="1"/>
    <col min="15617" max="15617" width="1.140625" style="53" customWidth="1"/>
    <col min="15618" max="15618" width="9.140625" style="53" customWidth="1"/>
    <col min="15619" max="15619" width="1.28515625" style="53" customWidth="1"/>
    <col min="15620" max="15620" width="14" style="53" customWidth="1"/>
    <col min="15621" max="15621" width="14.5703125" style="53" bestFit="1" customWidth="1"/>
    <col min="15622" max="15622" width="13.7109375" style="53" bestFit="1" customWidth="1"/>
    <col min="15623" max="15623" width="14.28515625" style="53" bestFit="1" customWidth="1"/>
    <col min="15624" max="15624" width="14.5703125" style="53" bestFit="1" customWidth="1"/>
    <col min="15625" max="15870" width="11.42578125" style="53"/>
    <col min="15871" max="15871" width="35.85546875" style="53" customWidth="1"/>
    <col min="15872" max="15872" width="15" style="53" bestFit="1" customWidth="1"/>
    <col min="15873" max="15873" width="1.140625" style="53" customWidth="1"/>
    <col min="15874" max="15874" width="9.140625" style="53" customWidth="1"/>
    <col min="15875" max="15875" width="1.28515625" style="53" customWidth="1"/>
    <col min="15876" max="15876" width="14" style="53" customWidth="1"/>
    <col min="15877" max="15877" width="14.5703125" style="53" bestFit="1" customWidth="1"/>
    <col min="15878" max="15878" width="13.7109375" style="53" bestFit="1" customWidth="1"/>
    <col min="15879" max="15879" width="14.28515625" style="53" bestFit="1" customWidth="1"/>
    <col min="15880" max="15880" width="14.5703125" style="53" bestFit="1" customWidth="1"/>
    <col min="15881" max="16126" width="11.42578125" style="53"/>
    <col min="16127" max="16127" width="35.85546875" style="53" customWidth="1"/>
    <col min="16128" max="16128" width="15" style="53" bestFit="1" customWidth="1"/>
    <col min="16129" max="16129" width="1.140625" style="53" customWidth="1"/>
    <col min="16130" max="16130" width="9.140625" style="53" customWidth="1"/>
    <col min="16131" max="16131" width="1.28515625" style="53" customWidth="1"/>
    <col min="16132" max="16132" width="14" style="53" customWidth="1"/>
    <col min="16133" max="16133" width="14.5703125" style="53" bestFit="1" customWidth="1"/>
    <col min="16134" max="16134" width="13.7109375" style="53" bestFit="1" customWidth="1"/>
    <col min="16135" max="16135" width="14.28515625" style="53" bestFit="1" customWidth="1"/>
    <col min="16136" max="16136" width="14.5703125" style="53" bestFit="1" customWidth="1"/>
    <col min="16137" max="16384" width="11.42578125" style="53"/>
  </cols>
  <sheetData>
    <row r="1" spans="1:9" s="50" customFormat="1" ht="29.25" customHeight="1">
      <c r="A1" s="49"/>
      <c r="C1" s="51"/>
      <c r="D1" s="51"/>
      <c r="E1" s="51"/>
      <c r="F1" s="51"/>
      <c r="G1" s="51"/>
      <c r="H1" s="51"/>
    </row>
    <row r="2" spans="1:9" s="50" customFormat="1">
      <c r="C2" s="51"/>
      <c r="D2" s="51"/>
      <c r="E2" s="51"/>
      <c r="F2" s="51"/>
      <c r="G2" s="51"/>
      <c r="H2" s="51"/>
    </row>
    <row r="3" spans="1:9" s="52" customFormat="1" ht="15.75">
      <c r="A3" s="288" t="s">
        <v>83</v>
      </c>
      <c r="B3" s="288"/>
      <c r="C3" s="288"/>
      <c r="D3" s="288"/>
      <c r="E3" s="288"/>
      <c r="F3" s="288"/>
      <c r="G3" s="288"/>
      <c r="H3" s="288"/>
    </row>
    <row r="4" spans="1:9" ht="24" customHeight="1">
      <c r="A4" s="57"/>
      <c r="B4" s="57"/>
      <c r="C4" s="58"/>
      <c r="D4" s="58"/>
      <c r="E4" s="58"/>
      <c r="F4" s="58"/>
      <c r="G4" s="58"/>
      <c r="H4" s="58"/>
    </row>
    <row r="5" spans="1:9" s="55" customFormat="1" ht="33" customHeight="1">
      <c r="A5" s="59"/>
      <c r="B5" s="80" t="s">
        <v>84</v>
      </c>
      <c r="C5" s="80" t="s">
        <v>85</v>
      </c>
      <c r="D5" s="80" t="s">
        <v>86</v>
      </c>
      <c r="E5" s="80" t="s">
        <v>87</v>
      </c>
      <c r="F5" s="80" t="s">
        <v>88</v>
      </c>
      <c r="G5" s="80" t="s">
        <v>89</v>
      </c>
      <c r="H5" s="80" t="s">
        <v>90</v>
      </c>
    </row>
    <row r="6" spans="1:9" ht="24" customHeight="1">
      <c r="A6" s="79" t="s">
        <v>106</v>
      </c>
      <c r="B6" s="81"/>
      <c r="C6" s="82"/>
      <c r="D6" s="76">
        <v>1</v>
      </c>
      <c r="E6" s="76">
        <v>2</v>
      </c>
      <c r="F6" s="76">
        <v>3</v>
      </c>
      <c r="G6" s="76">
        <v>4</v>
      </c>
      <c r="H6" s="76">
        <v>5</v>
      </c>
    </row>
    <row r="7" spans="1:9" ht="24" customHeight="1">
      <c r="A7" s="32" t="s">
        <v>43</v>
      </c>
      <c r="B7" s="190"/>
      <c r="C7" s="191"/>
      <c r="D7" s="192"/>
      <c r="E7" s="192"/>
      <c r="F7" s="192"/>
      <c r="G7" s="192"/>
      <c r="H7" s="192"/>
    </row>
    <row r="8" spans="1:9" ht="24" customHeight="1">
      <c r="A8" s="33" t="s">
        <v>57</v>
      </c>
      <c r="B8" s="190">
        <f>'C2b'!E9</f>
        <v>11280000</v>
      </c>
      <c r="C8" s="191">
        <v>40</v>
      </c>
      <c r="D8" s="193">
        <f>B8/C8</f>
        <v>282000</v>
      </c>
      <c r="E8" s="193">
        <f>D8</f>
        <v>282000</v>
      </c>
      <c r="F8" s="193">
        <f>D8</f>
        <v>282000</v>
      </c>
      <c r="G8" s="193">
        <f>D8</f>
        <v>282000</v>
      </c>
      <c r="H8" s="193">
        <f>D8</f>
        <v>282000</v>
      </c>
    </row>
    <row r="9" spans="1:9" ht="24" customHeight="1">
      <c r="A9" s="33" t="s">
        <v>56</v>
      </c>
      <c r="B9" s="190">
        <f>'C2b'!E10</f>
        <v>2820000</v>
      </c>
      <c r="C9" s="191">
        <v>40</v>
      </c>
      <c r="D9" s="193">
        <f>B9/C9</f>
        <v>70500</v>
      </c>
      <c r="E9" s="193">
        <f>D9</f>
        <v>70500</v>
      </c>
      <c r="F9" s="193">
        <f>D9</f>
        <v>70500</v>
      </c>
      <c r="G9" s="193">
        <f>D9</f>
        <v>70500</v>
      </c>
      <c r="H9" s="193">
        <f>D9</f>
        <v>70500</v>
      </c>
    </row>
    <row r="10" spans="1:9" ht="24" customHeight="1">
      <c r="A10" s="32" t="s">
        <v>45</v>
      </c>
      <c r="B10" s="190"/>
      <c r="C10" s="191"/>
      <c r="D10" s="192"/>
      <c r="E10" s="192"/>
      <c r="F10" s="192"/>
      <c r="G10" s="192"/>
      <c r="H10" s="192"/>
    </row>
    <row r="11" spans="1:9" ht="24" customHeight="1">
      <c r="A11" s="166" t="s">
        <v>79</v>
      </c>
      <c r="B11" s="190">
        <f>SUM('C2a'!E10:E14)</f>
        <v>176347</v>
      </c>
      <c r="C11" s="191">
        <v>15</v>
      </c>
      <c r="D11" s="193">
        <f>B11/C11</f>
        <v>11756.466666666667</v>
      </c>
      <c r="E11" s="193">
        <f>D11</f>
        <v>11756.466666666667</v>
      </c>
      <c r="F11" s="193">
        <f t="shared" ref="F11:H11" si="0">E11</f>
        <v>11756.466666666667</v>
      </c>
      <c r="G11" s="193">
        <f t="shared" si="0"/>
        <v>11756.466666666667</v>
      </c>
      <c r="H11" s="193">
        <f t="shared" si="0"/>
        <v>11756.466666666667</v>
      </c>
    </row>
    <row r="12" spans="1:9" ht="24" customHeight="1">
      <c r="A12" s="166" t="s">
        <v>80</v>
      </c>
      <c r="B12" s="190">
        <f>SUM('C2a'!E16:E34)</f>
        <v>407984.93200000003</v>
      </c>
      <c r="C12" s="191">
        <v>15</v>
      </c>
      <c r="D12" s="193">
        <f>B12/C12</f>
        <v>27198.995466666667</v>
      </c>
      <c r="E12" s="193">
        <f>D12</f>
        <v>27198.995466666667</v>
      </c>
      <c r="F12" s="193">
        <f t="shared" ref="F12:H13" si="1">E12</f>
        <v>27198.995466666667</v>
      </c>
      <c r="G12" s="193">
        <f t="shared" si="1"/>
        <v>27198.995466666667</v>
      </c>
      <c r="H12" s="193">
        <f t="shared" si="1"/>
        <v>27198.995466666667</v>
      </c>
    </row>
    <row r="13" spans="1:9" ht="24" customHeight="1">
      <c r="A13" s="166" t="s">
        <v>304</v>
      </c>
      <c r="B13" s="190">
        <f>SUM('C2a'!E36:E37)</f>
        <v>73500</v>
      </c>
      <c r="C13" s="191">
        <v>15</v>
      </c>
      <c r="D13" s="193">
        <f>B13/C13</f>
        <v>4900</v>
      </c>
      <c r="E13" s="193">
        <f>D13</f>
        <v>4900</v>
      </c>
      <c r="F13" s="193">
        <f t="shared" si="1"/>
        <v>4900</v>
      </c>
      <c r="G13" s="193">
        <f t="shared" si="1"/>
        <v>4900</v>
      </c>
      <c r="H13" s="193">
        <f t="shared" si="1"/>
        <v>4900</v>
      </c>
    </row>
    <row r="14" spans="1:9" s="50" customFormat="1" ht="24" customHeight="1">
      <c r="A14" s="77" t="s">
        <v>91</v>
      </c>
      <c r="B14" s="194">
        <f>SUM(B8:B13)</f>
        <v>14757831.932</v>
      </c>
      <c r="C14" s="194"/>
      <c r="D14" s="194">
        <f>SUM(D8:D13)</f>
        <v>396355.46213333332</v>
      </c>
      <c r="E14" s="194">
        <f>SUM(E8:E13)</f>
        <v>396355.46213333332</v>
      </c>
      <c r="F14" s="194">
        <f>SUM(F8:F13)</f>
        <v>396355.46213333332</v>
      </c>
      <c r="G14" s="194">
        <f>SUM(G8:G13)</f>
        <v>396355.46213333332</v>
      </c>
      <c r="H14" s="194">
        <f>SUM(H8:H13)</f>
        <v>396355.46213333332</v>
      </c>
      <c r="I14" s="56"/>
    </row>
    <row r="15" spans="1:9" ht="24" customHeight="1">
      <c r="A15" s="77" t="s">
        <v>92</v>
      </c>
      <c r="B15" s="195"/>
      <c r="C15" s="193"/>
      <c r="D15" s="193"/>
      <c r="E15" s="193"/>
      <c r="F15" s="193"/>
      <c r="G15" s="193"/>
      <c r="H15" s="193"/>
    </row>
    <row r="16" spans="1:9" ht="24" customHeight="1">
      <c r="A16" s="78" t="s">
        <v>135</v>
      </c>
      <c r="B16" s="193">
        <f>'C3'!C19</f>
        <v>14000</v>
      </c>
      <c r="C16" s="193">
        <v>5</v>
      </c>
      <c r="D16" s="193">
        <f t="shared" ref="D16:H19" si="2">IF(D$6&lt;=$C16, -PPMT(,D$6,$C16,$B16,0),0)</f>
        <v>2800</v>
      </c>
      <c r="E16" s="193">
        <f t="shared" si="2"/>
        <v>2800</v>
      </c>
      <c r="F16" s="193">
        <f t="shared" si="2"/>
        <v>2800</v>
      </c>
      <c r="G16" s="193">
        <f t="shared" si="2"/>
        <v>2800</v>
      </c>
      <c r="H16" s="193">
        <f t="shared" si="2"/>
        <v>2800</v>
      </c>
    </row>
    <row r="17" spans="1:9" ht="24" customHeight="1">
      <c r="A17" s="78" t="s">
        <v>136</v>
      </c>
      <c r="B17" s="193">
        <f>'C3'!C20</f>
        <v>22000</v>
      </c>
      <c r="C17" s="193">
        <v>5</v>
      </c>
      <c r="D17" s="193">
        <f t="shared" si="2"/>
        <v>4400</v>
      </c>
      <c r="E17" s="193">
        <f t="shared" si="2"/>
        <v>4400</v>
      </c>
      <c r="F17" s="193">
        <f t="shared" si="2"/>
        <v>4400</v>
      </c>
      <c r="G17" s="193">
        <f t="shared" si="2"/>
        <v>4400</v>
      </c>
      <c r="H17" s="193">
        <f t="shared" si="2"/>
        <v>4400</v>
      </c>
    </row>
    <row r="18" spans="1:9" ht="24" customHeight="1">
      <c r="A18" s="33" t="s">
        <v>244</v>
      </c>
      <c r="B18" s="193">
        <f>'C3'!C21</f>
        <v>23027</v>
      </c>
      <c r="C18" s="193">
        <v>5</v>
      </c>
      <c r="D18" s="193">
        <f t="shared" si="2"/>
        <v>4605.3999999999996</v>
      </c>
      <c r="E18" s="193">
        <f t="shared" si="2"/>
        <v>4605.3999999999996</v>
      </c>
      <c r="F18" s="193">
        <f t="shared" si="2"/>
        <v>4605.3999999999996</v>
      </c>
      <c r="G18" s="193">
        <f t="shared" si="2"/>
        <v>4605.3999999999996</v>
      </c>
      <c r="H18" s="193">
        <f t="shared" si="2"/>
        <v>4605.3999999999996</v>
      </c>
    </row>
    <row r="19" spans="1:9" ht="24" customHeight="1">
      <c r="A19" s="78" t="s">
        <v>463</v>
      </c>
      <c r="B19" s="193">
        <f>'C5'!H12</f>
        <v>1504507.9760512463</v>
      </c>
      <c r="C19" s="193">
        <v>5</v>
      </c>
      <c r="D19" s="193">
        <f>IF(D$6&lt;=$C19, -PPMT(,D$6,$C19,$B19,0),0)</f>
        <v>300901.59521024924</v>
      </c>
      <c r="E19" s="193">
        <f t="shared" si="2"/>
        <v>300901.59521024924</v>
      </c>
      <c r="F19" s="193">
        <f t="shared" si="2"/>
        <v>300901.59521024924</v>
      </c>
      <c r="G19" s="193">
        <f t="shared" si="2"/>
        <v>300901.59521024924</v>
      </c>
      <c r="H19" s="193">
        <f t="shared" si="2"/>
        <v>300901.59521024924</v>
      </c>
    </row>
    <row r="20" spans="1:9" s="50" customFormat="1" ht="24" customHeight="1">
      <c r="A20" s="75" t="s">
        <v>93</v>
      </c>
      <c r="B20" s="196"/>
      <c r="C20" s="194"/>
      <c r="D20" s="194">
        <f>SUM(D16:D19)</f>
        <v>312706.99521024927</v>
      </c>
      <c r="E20" s="194">
        <f>SUM(E16:E19)</f>
        <v>312706.99521024927</v>
      </c>
      <c r="F20" s="194">
        <f>SUM(F16:F19)</f>
        <v>312706.99521024927</v>
      </c>
      <c r="G20" s="194">
        <f>SUM(G16:G19)</f>
        <v>312706.99521024927</v>
      </c>
      <c r="H20" s="194">
        <f>SUM(H16:H19)</f>
        <v>312706.99521024927</v>
      </c>
      <c r="I20" s="56"/>
    </row>
    <row r="21" spans="1:9" s="50" customFormat="1" ht="24" customHeight="1">
      <c r="A21" s="75" t="s">
        <v>94</v>
      </c>
      <c r="B21" s="194">
        <f>B14+D20</f>
        <v>15070538.927210249</v>
      </c>
      <c r="C21" s="194"/>
      <c r="D21" s="194">
        <f>D14+D20</f>
        <v>709062.45734358253</v>
      </c>
      <c r="E21" s="194">
        <f>E14+E20</f>
        <v>709062.45734358253</v>
      </c>
      <c r="F21" s="194">
        <f>F14+F20</f>
        <v>709062.45734358253</v>
      </c>
      <c r="G21" s="194">
        <f>G14+G20</f>
        <v>709062.45734358253</v>
      </c>
      <c r="H21" s="194">
        <f>H14+H20</f>
        <v>709062.45734358253</v>
      </c>
      <c r="I21" s="56"/>
    </row>
    <row r="22" spans="1:9" ht="18" customHeight="1">
      <c r="A22" s="57"/>
      <c r="B22" s="57"/>
      <c r="C22" s="58"/>
      <c r="D22" s="58">
        <f>D21/1164</f>
        <v>609.16018672129087</v>
      </c>
      <c r="E22" s="58"/>
      <c r="F22" s="58"/>
      <c r="G22" s="58"/>
      <c r="H22" s="58"/>
    </row>
    <row r="23" spans="1:9" ht="18" customHeight="1">
      <c r="A23" s="60" t="s">
        <v>95</v>
      </c>
      <c r="B23" s="57"/>
      <c r="C23" s="58"/>
      <c r="D23" s="58"/>
      <c r="E23" s="58"/>
      <c r="F23" s="58"/>
      <c r="G23" s="58"/>
      <c r="H23" s="58"/>
    </row>
    <row r="24" spans="1:9" ht="18" customHeight="1">
      <c r="A24" s="57" t="s">
        <v>96</v>
      </c>
      <c r="B24" s="57"/>
      <c r="C24" s="58"/>
      <c r="D24" s="58"/>
      <c r="E24" s="58"/>
      <c r="F24" s="58"/>
      <c r="G24" s="58"/>
      <c r="H24" s="58"/>
    </row>
    <row r="25" spans="1:9" ht="18" customHeight="1">
      <c r="A25" s="57"/>
      <c r="B25" s="57"/>
      <c r="C25" s="58"/>
      <c r="D25" s="58"/>
      <c r="E25" s="58"/>
      <c r="F25" s="58"/>
      <c r="G25" s="58"/>
      <c r="H25" s="58"/>
    </row>
    <row r="26" spans="1:9" ht="18" customHeight="1">
      <c r="A26" s="57"/>
      <c r="B26" s="57"/>
      <c r="C26" s="58"/>
      <c r="D26" s="58"/>
      <c r="E26" s="58"/>
      <c r="F26" s="58"/>
      <c r="G26" s="58"/>
      <c r="H26" s="58"/>
    </row>
  </sheetData>
  <mergeCells count="1">
    <mergeCell ref="A3:H3"/>
  </mergeCells>
  <printOptions horizontalCentered="1" verticalCentered="1"/>
  <pageMargins left="0.78740157480314965" right="0.78740157480314965" top="0.78740157480314965" bottom="0.78740157480314965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1"/>
  <sheetViews>
    <sheetView topLeftCell="A30" workbookViewId="0">
      <selection activeCell="D46" sqref="D46"/>
    </sheetView>
  </sheetViews>
  <sheetFormatPr baseColWidth="10" defaultRowHeight="15.75"/>
  <cols>
    <col min="1" max="1" width="10.5703125" style="95" customWidth="1"/>
    <col min="2" max="2" width="24.5703125" style="3" customWidth="1"/>
    <col min="3" max="3" width="16.140625" style="3" customWidth="1"/>
    <col min="4" max="4" width="13.85546875" style="3" bestFit="1" customWidth="1"/>
    <col min="5" max="5" width="18.7109375" style="3" customWidth="1"/>
    <col min="6" max="6" width="15.140625" style="3" customWidth="1"/>
    <col min="7" max="7" width="16.5703125" style="3" bestFit="1" customWidth="1"/>
    <col min="8" max="8" width="16" style="3" bestFit="1" customWidth="1"/>
    <col min="9" max="9" width="16" style="3" customWidth="1"/>
    <col min="10" max="10" width="15.85546875" style="3" customWidth="1"/>
    <col min="11" max="11" width="15.5703125" style="3" customWidth="1"/>
    <col min="12" max="253" width="11.42578125" style="108"/>
    <col min="254" max="254" width="10.5703125" style="108" customWidth="1"/>
    <col min="255" max="255" width="12.42578125" style="108" customWidth="1"/>
    <col min="256" max="256" width="16.140625" style="108" customWidth="1"/>
    <col min="257" max="257" width="0.5703125" style="108" customWidth="1"/>
    <col min="258" max="259" width="17.140625" style="108" customWidth="1"/>
    <col min="260" max="260" width="0.42578125" style="108" customWidth="1"/>
    <col min="261" max="261" width="19.42578125" style="108" bestFit="1" customWidth="1"/>
    <col min="262" max="262" width="16.5703125" style="108" bestFit="1" customWidth="1"/>
    <col min="263" max="263" width="16" style="108" bestFit="1" customWidth="1"/>
    <col min="264" max="264" width="0.28515625" style="108" customWidth="1"/>
    <col min="265" max="265" width="16" style="108" customWidth="1"/>
    <col min="266" max="266" width="15.85546875" style="108" customWidth="1"/>
    <col min="267" max="267" width="15.5703125" style="108" customWidth="1"/>
    <col min="268" max="509" width="11.42578125" style="108"/>
    <col min="510" max="510" width="10.5703125" style="108" customWidth="1"/>
    <col min="511" max="511" width="12.42578125" style="108" customWidth="1"/>
    <col min="512" max="512" width="16.140625" style="108" customWidth="1"/>
    <col min="513" max="513" width="0.5703125" style="108" customWidth="1"/>
    <col min="514" max="515" width="17.140625" style="108" customWidth="1"/>
    <col min="516" max="516" width="0.42578125" style="108" customWidth="1"/>
    <col min="517" max="517" width="19.42578125" style="108" bestFit="1" customWidth="1"/>
    <col min="518" max="518" width="16.5703125" style="108" bestFit="1" customWidth="1"/>
    <col min="519" max="519" width="16" style="108" bestFit="1" customWidth="1"/>
    <col min="520" max="520" width="0.28515625" style="108" customWidth="1"/>
    <col min="521" max="521" width="16" style="108" customWidth="1"/>
    <col min="522" max="522" width="15.85546875" style="108" customWidth="1"/>
    <col min="523" max="523" width="15.5703125" style="108" customWidth="1"/>
    <col min="524" max="765" width="11.42578125" style="108"/>
    <col min="766" max="766" width="10.5703125" style="108" customWidth="1"/>
    <col min="767" max="767" width="12.42578125" style="108" customWidth="1"/>
    <col min="768" max="768" width="16.140625" style="108" customWidth="1"/>
    <col min="769" max="769" width="0.5703125" style="108" customWidth="1"/>
    <col min="770" max="771" width="17.140625" style="108" customWidth="1"/>
    <col min="772" max="772" width="0.42578125" style="108" customWidth="1"/>
    <col min="773" max="773" width="19.42578125" style="108" bestFit="1" customWidth="1"/>
    <col min="774" max="774" width="16.5703125" style="108" bestFit="1" customWidth="1"/>
    <col min="775" max="775" width="16" style="108" bestFit="1" customWidth="1"/>
    <col min="776" max="776" width="0.28515625" style="108" customWidth="1"/>
    <col min="777" max="777" width="16" style="108" customWidth="1"/>
    <col min="778" max="778" width="15.85546875" style="108" customWidth="1"/>
    <col min="779" max="779" width="15.5703125" style="108" customWidth="1"/>
    <col min="780" max="1021" width="11.42578125" style="108"/>
    <col min="1022" max="1022" width="10.5703125" style="108" customWidth="1"/>
    <col min="1023" max="1023" width="12.42578125" style="108" customWidth="1"/>
    <col min="1024" max="1024" width="16.140625" style="108" customWidth="1"/>
    <col min="1025" max="1025" width="0.5703125" style="108" customWidth="1"/>
    <col min="1026" max="1027" width="17.140625" style="108" customWidth="1"/>
    <col min="1028" max="1028" width="0.42578125" style="108" customWidth="1"/>
    <col min="1029" max="1029" width="19.42578125" style="108" bestFit="1" customWidth="1"/>
    <col min="1030" max="1030" width="16.5703125" style="108" bestFit="1" customWidth="1"/>
    <col min="1031" max="1031" width="16" style="108" bestFit="1" customWidth="1"/>
    <col min="1032" max="1032" width="0.28515625" style="108" customWidth="1"/>
    <col min="1033" max="1033" width="16" style="108" customWidth="1"/>
    <col min="1034" max="1034" width="15.85546875" style="108" customWidth="1"/>
    <col min="1035" max="1035" width="15.5703125" style="108" customWidth="1"/>
    <col min="1036" max="1277" width="11.42578125" style="108"/>
    <col min="1278" max="1278" width="10.5703125" style="108" customWidth="1"/>
    <col min="1279" max="1279" width="12.42578125" style="108" customWidth="1"/>
    <col min="1280" max="1280" width="16.140625" style="108" customWidth="1"/>
    <col min="1281" max="1281" width="0.5703125" style="108" customWidth="1"/>
    <col min="1282" max="1283" width="17.140625" style="108" customWidth="1"/>
    <col min="1284" max="1284" width="0.42578125" style="108" customWidth="1"/>
    <col min="1285" max="1285" width="19.42578125" style="108" bestFit="1" customWidth="1"/>
    <col min="1286" max="1286" width="16.5703125" style="108" bestFit="1" customWidth="1"/>
    <col min="1287" max="1287" width="16" style="108" bestFit="1" customWidth="1"/>
    <col min="1288" max="1288" width="0.28515625" style="108" customWidth="1"/>
    <col min="1289" max="1289" width="16" style="108" customWidth="1"/>
    <col min="1290" max="1290" width="15.85546875" style="108" customWidth="1"/>
    <col min="1291" max="1291" width="15.5703125" style="108" customWidth="1"/>
    <col min="1292" max="1533" width="11.42578125" style="108"/>
    <col min="1534" max="1534" width="10.5703125" style="108" customWidth="1"/>
    <col min="1535" max="1535" width="12.42578125" style="108" customWidth="1"/>
    <col min="1536" max="1536" width="16.140625" style="108" customWidth="1"/>
    <col min="1537" max="1537" width="0.5703125" style="108" customWidth="1"/>
    <col min="1538" max="1539" width="17.140625" style="108" customWidth="1"/>
    <col min="1540" max="1540" width="0.42578125" style="108" customWidth="1"/>
    <col min="1541" max="1541" width="19.42578125" style="108" bestFit="1" customWidth="1"/>
    <col min="1542" max="1542" width="16.5703125" style="108" bestFit="1" customWidth="1"/>
    <col min="1543" max="1543" width="16" style="108" bestFit="1" customWidth="1"/>
    <col min="1544" max="1544" width="0.28515625" style="108" customWidth="1"/>
    <col min="1545" max="1545" width="16" style="108" customWidth="1"/>
    <col min="1546" max="1546" width="15.85546875" style="108" customWidth="1"/>
    <col min="1547" max="1547" width="15.5703125" style="108" customWidth="1"/>
    <col min="1548" max="1789" width="11.42578125" style="108"/>
    <col min="1790" max="1790" width="10.5703125" style="108" customWidth="1"/>
    <col min="1791" max="1791" width="12.42578125" style="108" customWidth="1"/>
    <col min="1792" max="1792" width="16.140625" style="108" customWidth="1"/>
    <col min="1793" max="1793" width="0.5703125" style="108" customWidth="1"/>
    <col min="1794" max="1795" width="17.140625" style="108" customWidth="1"/>
    <col min="1796" max="1796" width="0.42578125" style="108" customWidth="1"/>
    <col min="1797" max="1797" width="19.42578125" style="108" bestFit="1" customWidth="1"/>
    <col min="1798" max="1798" width="16.5703125" style="108" bestFit="1" customWidth="1"/>
    <col min="1799" max="1799" width="16" style="108" bestFit="1" customWidth="1"/>
    <col min="1800" max="1800" width="0.28515625" style="108" customWidth="1"/>
    <col min="1801" max="1801" width="16" style="108" customWidth="1"/>
    <col min="1802" max="1802" width="15.85546875" style="108" customWidth="1"/>
    <col min="1803" max="1803" width="15.5703125" style="108" customWidth="1"/>
    <col min="1804" max="2045" width="11.42578125" style="108"/>
    <col min="2046" max="2046" width="10.5703125" style="108" customWidth="1"/>
    <col min="2047" max="2047" width="12.42578125" style="108" customWidth="1"/>
    <col min="2048" max="2048" width="16.140625" style="108" customWidth="1"/>
    <col min="2049" max="2049" width="0.5703125" style="108" customWidth="1"/>
    <col min="2050" max="2051" width="17.140625" style="108" customWidth="1"/>
    <col min="2052" max="2052" width="0.42578125" style="108" customWidth="1"/>
    <col min="2053" max="2053" width="19.42578125" style="108" bestFit="1" customWidth="1"/>
    <col min="2054" max="2054" width="16.5703125" style="108" bestFit="1" customWidth="1"/>
    <col min="2055" max="2055" width="16" style="108" bestFit="1" customWidth="1"/>
    <col min="2056" max="2056" width="0.28515625" style="108" customWidth="1"/>
    <col min="2057" max="2057" width="16" style="108" customWidth="1"/>
    <col min="2058" max="2058" width="15.85546875" style="108" customWidth="1"/>
    <col min="2059" max="2059" width="15.5703125" style="108" customWidth="1"/>
    <col min="2060" max="2301" width="11.42578125" style="108"/>
    <col min="2302" max="2302" width="10.5703125" style="108" customWidth="1"/>
    <col min="2303" max="2303" width="12.42578125" style="108" customWidth="1"/>
    <col min="2304" max="2304" width="16.140625" style="108" customWidth="1"/>
    <col min="2305" max="2305" width="0.5703125" style="108" customWidth="1"/>
    <col min="2306" max="2307" width="17.140625" style="108" customWidth="1"/>
    <col min="2308" max="2308" width="0.42578125" style="108" customWidth="1"/>
    <col min="2309" max="2309" width="19.42578125" style="108" bestFit="1" customWidth="1"/>
    <col min="2310" max="2310" width="16.5703125" style="108" bestFit="1" customWidth="1"/>
    <col min="2311" max="2311" width="16" style="108" bestFit="1" customWidth="1"/>
    <col min="2312" max="2312" width="0.28515625" style="108" customWidth="1"/>
    <col min="2313" max="2313" width="16" style="108" customWidth="1"/>
    <col min="2314" max="2314" width="15.85546875" style="108" customWidth="1"/>
    <col min="2315" max="2315" width="15.5703125" style="108" customWidth="1"/>
    <col min="2316" max="2557" width="11.42578125" style="108"/>
    <col min="2558" max="2558" width="10.5703125" style="108" customWidth="1"/>
    <col min="2559" max="2559" width="12.42578125" style="108" customWidth="1"/>
    <col min="2560" max="2560" width="16.140625" style="108" customWidth="1"/>
    <col min="2561" max="2561" width="0.5703125" style="108" customWidth="1"/>
    <col min="2562" max="2563" width="17.140625" style="108" customWidth="1"/>
    <col min="2564" max="2564" width="0.42578125" style="108" customWidth="1"/>
    <col min="2565" max="2565" width="19.42578125" style="108" bestFit="1" customWidth="1"/>
    <col min="2566" max="2566" width="16.5703125" style="108" bestFit="1" customWidth="1"/>
    <col min="2567" max="2567" width="16" style="108" bestFit="1" customWidth="1"/>
    <col min="2568" max="2568" width="0.28515625" style="108" customWidth="1"/>
    <col min="2569" max="2569" width="16" style="108" customWidth="1"/>
    <col min="2570" max="2570" width="15.85546875" style="108" customWidth="1"/>
    <col min="2571" max="2571" width="15.5703125" style="108" customWidth="1"/>
    <col min="2572" max="2813" width="11.42578125" style="108"/>
    <col min="2814" max="2814" width="10.5703125" style="108" customWidth="1"/>
    <col min="2815" max="2815" width="12.42578125" style="108" customWidth="1"/>
    <col min="2816" max="2816" width="16.140625" style="108" customWidth="1"/>
    <col min="2817" max="2817" width="0.5703125" style="108" customWidth="1"/>
    <col min="2818" max="2819" width="17.140625" style="108" customWidth="1"/>
    <col min="2820" max="2820" width="0.42578125" style="108" customWidth="1"/>
    <col min="2821" max="2821" width="19.42578125" style="108" bestFit="1" customWidth="1"/>
    <col min="2822" max="2822" width="16.5703125" style="108" bestFit="1" customWidth="1"/>
    <col min="2823" max="2823" width="16" style="108" bestFit="1" customWidth="1"/>
    <col min="2824" max="2824" width="0.28515625" style="108" customWidth="1"/>
    <col min="2825" max="2825" width="16" style="108" customWidth="1"/>
    <col min="2826" max="2826" width="15.85546875" style="108" customWidth="1"/>
    <col min="2827" max="2827" width="15.5703125" style="108" customWidth="1"/>
    <col min="2828" max="3069" width="11.42578125" style="108"/>
    <col min="3070" max="3070" width="10.5703125" style="108" customWidth="1"/>
    <col min="3071" max="3071" width="12.42578125" style="108" customWidth="1"/>
    <col min="3072" max="3072" width="16.140625" style="108" customWidth="1"/>
    <col min="3073" max="3073" width="0.5703125" style="108" customWidth="1"/>
    <col min="3074" max="3075" width="17.140625" style="108" customWidth="1"/>
    <col min="3076" max="3076" width="0.42578125" style="108" customWidth="1"/>
    <col min="3077" max="3077" width="19.42578125" style="108" bestFit="1" customWidth="1"/>
    <col min="3078" max="3078" width="16.5703125" style="108" bestFit="1" customWidth="1"/>
    <col min="3079" max="3079" width="16" style="108" bestFit="1" customWidth="1"/>
    <col min="3080" max="3080" width="0.28515625" style="108" customWidth="1"/>
    <col min="3081" max="3081" width="16" style="108" customWidth="1"/>
    <col min="3082" max="3082" width="15.85546875" style="108" customWidth="1"/>
    <col min="3083" max="3083" width="15.5703125" style="108" customWidth="1"/>
    <col min="3084" max="3325" width="11.42578125" style="108"/>
    <col min="3326" max="3326" width="10.5703125" style="108" customWidth="1"/>
    <col min="3327" max="3327" width="12.42578125" style="108" customWidth="1"/>
    <col min="3328" max="3328" width="16.140625" style="108" customWidth="1"/>
    <col min="3329" max="3329" width="0.5703125" style="108" customWidth="1"/>
    <col min="3330" max="3331" width="17.140625" style="108" customWidth="1"/>
    <col min="3332" max="3332" width="0.42578125" style="108" customWidth="1"/>
    <col min="3333" max="3333" width="19.42578125" style="108" bestFit="1" customWidth="1"/>
    <col min="3334" max="3334" width="16.5703125" style="108" bestFit="1" customWidth="1"/>
    <col min="3335" max="3335" width="16" style="108" bestFit="1" customWidth="1"/>
    <col min="3336" max="3336" width="0.28515625" style="108" customWidth="1"/>
    <col min="3337" max="3337" width="16" style="108" customWidth="1"/>
    <col min="3338" max="3338" width="15.85546875" style="108" customWidth="1"/>
    <col min="3339" max="3339" width="15.5703125" style="108" customWidth="1"/>
    <col min="3340" max="3581" width="11.42578125" style="108"/>
    <col min="3582" max="3582" width="10.5703125" style="108" customWidth="1"/>
    <col min="3583" max="3583" width="12.42578125" style="108" customWidth="1"/>
    <col min="3584" max="3584" width="16.140625" style="108" customWidth="1"/>
    <col min="3585" max="3585" width="0.5703125" style="108" customWidth="1"/>
    <col min="3586" max="3587" width="17.140625" style="108" customWidth="1"/>
    <col min="3588" max="3588" width="0.42578125" style="108" customWidth="1"/>
    <col min="3589" max="3589" width="19.42578125" style="108" bestFit="1" customWidth="1"/>
    <col min="3590" max="3590" width="16.5703125" style="108" bestFit="1" customWidth="1"/>
    <col min="3591" max="3591" width="16" style="108" bestFit="1" customWidth="1"/>
    <col min="3592" max="3592" width="0.28515625" style="108" customWidth="1"/>
    <col min="3593" max="3593" width="16" style="108" customWidth="1"/>
    <col min="3594" max="3594" width="15.85546875" style="108" customWidth="1"/>
    <col min="3595" max="3595" width="15.5703125" style="108" customWidth="1"/>
    <col min="3596" max="3837" width="11.42578125" style="108"/>
    <col min="3838" max="3838" width="10.5703125" style="108" customWidth="1"/>
    <col min="3839" max="3839" width="12.42578125" style="108" customWidth="1"/>
    <col min="3840" max="3840" width="16.140625" style="108" customWidth="1"/>
    <col min="3841" max="3841" width="0.5703125" style="108" customWidth="1"/>
    <col min="3842" max="3843" width="17.140625" style="108" customWidth="1"/>
    <col min="3844" max="3844" width="0.42578125" style="108" customWidth="1"/>
    <col min="3845" max="3845" width="19.42578125" style="108" bestFit="1" customWidth="1"/>
    <col min="3846" max="3846" width="16.5703125" style="108" bestFit="1" customWidth="1"/>
    <col min="3847" max="3847" width="16" style="108" bestFit="1" customWidth="1"/>
    <col min="3848" max="3848" width="0.28515625" style="108" customWidth="1"/>
    <col min="3849" max="3849" width="16" style="108" customWidth="1"/>
    <col min="3850" max="3850" width="15.85546875" style="108" customWidth="1"/>
    <col min="3851" max="3851" width="15.5703125" style="108" customWidth="1"/>
    <col min="3852" max="4093" width="11.42578125" style="108"/>
    <col min="4094" max="4094" width="10.5703125" style="108" customWidth="1"/>
    <col min="4095" max="4095" width="12.42578125" style="108" customWidth="1"/>
    <col min="4096" max="4096" width="16.140625" style="108" customWidth="1"/>
    <col min="4097" max="4097" width="0.5703125" style="108" customWidth="1"/>
    <col min="4098" max="4099" width="17.140625" style="108" customWidth="1"/>
    <col min="4100" max="4100" width="0.42578125" style="108" customWidth="1"/>
    <col min="4101" max="4101" width="19.42578125" style="108" bestFit="1" customWidth="1"/>
    <col min="4102" max="4102" width="16.5703125" style="108" bestFit="1" customWidth="1"/>
    <col min="4103" max="4103" width="16" style="108" bestFit="1" customWidth="1"/>
    <col min="4104" max="4104" width="0.28515625" style="108" customWidth="1"/>
    <col min="4105" max="4105" width="16" style="108" customWidth="1"/>
    <col min="4106" max="4106" width="15.85546875" style="108" customWidth="1"/>
    <col min="4107" max="4107" width="15.5703125" style="108" customWidth="1"/>
    <col min="4108" max="4349" width="11.42578125" style="108"/>
    <col min="4350" max="4350" width="10.5703125" style="108" customWidth="1"/>
    <col min="4351" max="4351" width="12.42578125" style="108" customWidth="1"/>
    <col min="4352" max="4352" width="16.140625" style="108" customWidth="1"/>
    <col min="4353" max="4353" width="0.5703125" style="108" customWidth="1"/>
    <col min="4354" max="4355" width="17.140625" style="108" customWidth="1"/>
    <col min="4356" max="4356" width="0.42578125" style="108" customWidth="1"/>
    <col min="4357" max="4357" width="19.42578125" style="108" bestFit="1" customWidth="1"/>
    <col min="4358" max="4358" width="16.5703125" style="108" bestFit="1" customWidth="1"/>
    <col min="4359" max="4359" width="16" style="108" bestFit="1" customWidth="1"/>
    <col min="4360" max="4360" width="0.28515625" style="108" customWidth="1"/>
    <col min="4361" max="4361" width="16" style="108" customWidth="1"/>
    <col min="4362" max="4362" width="15.85546875" style="108" customWidth="1"/>
    <col min="4363" max="4363" width="15.5703125" style="108" customWidth="1"/>
    <col min="4364" max="4605" width="11.42578125" style="108"/>
    <col min="4606" max="4606" width="10.5703125" style="108" customWidth="1"/>
    <col min="4607" max="4607" width="12.42578125" style="108" customWidth="1"/>
    <col min="4608" max="4608" width="16.140625" style="108" customWidth="1"/>
    <col min="4609" max="4609" width="0.5703125" style="108" customWidth="1"/>
    <col min="4610" max="4611" width="17.140625" style="108" customWidth="1"/>
    <col min="4612" max="4612" width="0.42578125" style="108" customWidth="1"/>
    <col min="4613" max="4613" width="19.42578125" style="108" bestFit="1" customWidth="1"/>
    <col min="4614" max="4614" width="16.5703125" style="108" bestFit="1" customWidth="1"/>
    <col min="4615" max="4615" width="16" style="108" bestFit="1" customWidth="1"/>
    <col min="4616" max="4616" width="0.28515625" style="108" customWidth="1"/>
    <col min="4617" max="4617" width="16" style="108" customWidth="1"/>
    <col min="4618" max="4618" width="15.85546875" style="108" customWidth="1"/>
    <col min="4619" max="4619" width="15.5703125" style="108" customWidth="1"/>
    <col min="4620" max="4861" width="11.42578125" style="108"/>
    <col min="4862" max="4862" width="10.5703125" style="108" customWidth="1"/>
    <col min="4863" max="4863" width="12.42578125" style="108" customWidth="1"/>
    <col min="4864" max="4864" width="16.140625" style="108" customWidth="1"/>
    <col min="4865" max="4865" width="0.5703125" style="108" customWidth="1"/>
    <col min="4866" max="4867" width="17.140625" style="108" customWidth="1"/>
    <col min="4868" max="4868" width="0.42578125" style="108" customWidth="1"/>
    <col min="4869" max="4869" width="19.42578125" style="108" bestFit="1" customWidth="1"/>
    <col min="4870" max="4870" width="16.5703125" style="108" bestFit="1" customWidth="1"/>
    <col min="4871" max="4871" width="16" style="108" bestFit="1" customWidth="1"/>
    <col min="4872" max="4872" width="0.28515625" style="108" customWidth="1"/>
    <col min="4873" max="4873" width="16" style="108" customWidth="1"/>
    <col min="4874" max="4874" width="15.85546875" style="108" customWidth="1"/>
    <col min="4875" max="4875" width="15.5703125" style="108" customWidth="1"/>
    <col min="4876" max="5117" width="11.42578125" style="108"/>
    <col min="5118" max="5118" width="10.5703125" style="108" customWidth="1"/>
    <col min="5119" max="5119" width="12.42578125" style="108" customWidth="1"/>
    <col min="5120" max="5120" width="16.140625" style="108" customWidth="1"/>
    <col min="5121" max="5121" width="0.5703125" style="108" customWidth="1"/>
    <col min="5122" max="5123" width="17.140625" style="108" customWidth="1"/>
    <col min="5124" max="5124" width="0.42578125" style="108" customWidth="1"/>
    <col min="5125" max="5125" width="19.42578125" style="108" bestFit="1" customWidth="1"/>
    <col min="5126" max="5126" width="16.5703125" style="108" bestFit="1" customWidth="1"/>
    <col min="5127" max="5127" width="16" style="108" bestFit="1" customWidth="1"/>
    <col min="5128" max="5128" width="0.28515625" style="108" customWidth="1"/>
    <col min="5129" max="5129" width="16" style="108" customWidth="1"/>
    <col min="5130" max="5130" width="15.85546875" style="108" customWidth="1"/>
    <col min="5131" max="5131" width="15.5703125" style="108" customWidth="1"/>
    <col min="5132" max="5373" width="11.42578125" style="108"/>
    <col min="5374" max="5374" width="10.5703125" style="108" customWidth="1"/>
    <col min="5375" max="5375" width="12.42578125" style="108" customWidth="1"/>
    <col min="5376" max="5376" width="16.140625" style="108" customWidth="1"/>
    <col min="5377" max="5377" width="0.5703125" style="108" customWidth="1"/>
    <col min="5378" max="5379" width="17.140625" style="108" customWidth="1"/>
    <col min="5380" max="5380" width="0.42578125" style="108" customWidth="1"/>
    <col min="5381" max="5381" width="19.42578125" style="108" bestFit="1" customWidth="1"/>
    <col min="5382" max="5382" width="16.5703125" style="108" bestFit="1" customWidth="1"/>
    <col min="5383" max="5383" width="16" style="108" bestFit="1" customWidth="1"/>
    <col min="5384" max="5384" width="0.28515625" style="108" customWidth="1"/>
    <col min="5385" max="5385" width="16" style="108" customWidth="1"/>
    <col min="5386" max="5386" width="15.85546875" style="108" customWidth="1"/>
    <col min="5387" max="5387" width="15.5703125" style="108" customWidth="1"/>
    <col min="5388" max="5629" width="11.42578125" style="108"/>
    <col min="5630" max="5630" width="10.5703125" style="108" customWidth="1"/>
    <col min="5631" max="5631" width="12.42578125" style="108" customWidth="1"/>
    <col min="5632" max="5632" width="16.140625" style="108" customWidth="1"/>
    <col min="5633" max="5633" width="0.5703125" style="108" customWidth="1"/>
    <col min="5634" max="5635" width="17.140625" style="108" customWidth="1"/>
    <col min="5636" max="5636" width="0.42578125" style="108" customWidth="1"/>
    <col min="5637" max="5637" width="19.42578125" style="108" bestFit="1" customWidth="1"/>
    <col min="5638" max="5638" width="16.5703125" style="108" bestFit="1" customWidth="1"/>
    <col min="5639" max="5639" width="16" style="108" bestFit="1" customWidth="1"/>
    <col min="5640" max="5640" width="0.28515625" style="108" customWidth="1"/>
    <col min="5641" max="5641" width="16" style="108" customWidth="1"/>
    <col min="5642" max="5642" width="15.85546875" style="108" customWidth="1"/>
    <col min="5643" max="5643" width="15.5703125" style="108" customWidth="1"/>
    <col min="5644" max="5885" width="11.42578125" style="108"/>
    <col min="5886" max="5886" width="10.5703125" style="108" customWidth="1"/>
    <col min="5887" max="5887" width="12.42578125" style="108" customWidth="1"/>
    <col min="5888" max="5888" width="16.140625" style="108" customWidth="1"/>
    <col min="5889" max="5889" width="0.5703125" style="108" customWidth="1"/>
    <col min="5890" max="5891" width="17.140625" style="108" customWidth="1"/>
    <col min="5892" max="5892" width="0.42578125" style="108" customWidth="1"/>
    <col min="5893" max="5893" width="19.42578125" style="108" bestFit="1" customWidth="1"/>
    <col min="5894" max="5894" width="16.5703125" style="108" bestFit="1" customWidth="1"/>
    <col min="5895" max="5895" width="16" style="108" bestFit="1" customWidth="1"/>
    <col min="5896" max="5896" width="0.28515625" style="108" customWidth="1"/>
    <col min="5897" max="5897" width="16" style="108" customWidth="1"/>
    <col min="5898" max="5898" width="15.85546875" style="108" customWidth="1"/>
    <col min="5899" max="5899" width="15.5703125" style="108" customWidth="1"/>
    <col min="5900" max="6141" width="11.42578125" style="108"/>
    <col min="6142" max="6142" width="10.5703125" style="108" customWidth="1"/>
    <col min="6143" max="6143" width="12.42578125" style="108" customWidth="1"/>
    <col min="6144" max="6144" width="16.140625" style="108" customWidth="1"/>
    <col min="6145" max="6145" width="0.5703125" style="108" customWidth="1"/>
    <col min="6146" max="6147" width="17.140625" style="108" customWidth="1"/>
    <col min="6148" max="6148" width="0.42578125" style="108" customWidth="1"/>
    <col min="6149" max="6149" width="19.42578125" style="108" bestFit="1" customWidth="1"/>
    <col min="6150" max="6150" width="16.5703125" style="108" bestFit="1" customWidth="1"/>
    <col min="6151" max="6151" width="16" style="108" bestFit="1" customWidth="1"/>
    <col min="6152" max="6152" width="0.28515625" style="108" customWidth="1"/>
    <col min="6153" max="6153" width="16" style="108" customWidth="1"/>
    <col min="6154" max="6154" width="15.85546875" style="108" customWidth="1"/>
    <col min="6155" max="6155" width="15.5703125" style="108" customWidth="1"/>
    <col min="6156" max="6397" width="11.42578125" style="108"/>
    <col min="6398" max="6398" width="10.5703125" style="108" customWidth="1"/>
    <col min="6399" max="6399" width="12.42578125" style="108" customWidth="1"/>
    <col min="6400" max="6400" width="16.140625" style="108" customWidth="1"/>
    <col min="6401" max="6401" width="0.5703125" style="108" customWidth="1"/>
    <col min="6402" max="6403" width="17.140625" style="108" customWidth="1"/>
    <col min="6404" max="6404" width="0.42578125" style="108" customWidth="1"/>
    <col min="6405" max="6405" width="19.42578125" style="108" bestFit="1" customWidth="1"/>
    <col min="6406" max="6406" width="16.5703125" style="108" bestFit="1" customWidth="1"/>
    <col min="6407" max="6407" width="16" style="108" bestFit="1" customWidth="1"/>
    <col min="6408" max="6408" width="0.28515625" style="108" customWidth="1"/>
    <col min="6409" max="6409" width="16" style="108" customWidth="1"/>
    <col min="6410" max="6410" width="15.85546875" style="108" customWidth="1"/>
    <col min="6411" max="6411" width="15.5703125" style="108" customWidth="1"/>
    <col min="6412" max="6653" width="11.42578125" style="108"/>
    <col min="6654" max="6654" width="10.5703125" style="108" customWidth="1"/>
    <col min="6655" max="6655" width="12.42578125" style="108" customWidth="1"/>
    <col min="6656" max="6656" width="16.140625" style="108" customWidth="1"/>
    <col min="6657" max="6657" width="0.5703125" style="108" customWidth="1"/>
    <col min="6658" max="6659" width="17.140625" style="108" customWidth="1"/>
    <col min="6660" max="6660" width="0.42578125" style="108" customWidth="1"/>
    <col min="6661" max="6661" width="19.42578125" style="108" bestFit="1" customWidth="1"/>
    <col min="6662" max="6662" width="16.5703125" style="108" bestFit="1" customWidth="1"/>
    <col min="6663" max="6663" width="16" style="108" bestFit="1" customWidth="1"/>
    <col min="6664" max="6664" width="0.28515625" style="108" customWidth="1"/>
    <col min="6665" max="6665" width="16" style="108" customWidth="1"/>
    <col min="6666" max="6666" width="15.85546875" style="108" customWidth="1"/>
    <col min="6667" max="6667" width="15.5703125" style="108" customWidth="1"/>
    <col min="6668" max="6909" width="11.42578125" style="108"/>
    <col min="6910" max="6910" width="10.5703125" style="108" customWidth="1"/>
    <col min="6911" max="6911" width="12.42578125" style="108" customWidth="1"/>
    <col min="6912" max="6912" width="16.140625" style="108" customWidth="1"/>
    <col min="6913" max="6913" width="0.5703125" style="108" customWidth="1"/>
    <col min="6914" max="6915" width="17.140625" style="108" customWidth="1"/>
    <col min="6916" max="6916" width="0.42578125" style="108" customWidth="1"/>
    <col min="6917" max="6917" width="19.42578125" style="108" bestFit="1" customWidth="1"/>
    <col min="6918" max="6918" width="16.5703125" style="108" bestFit="1" customWidth="1"/>
    <col min="6919" max="6919" width="16" style="108" bestFit="1" customWidth="1"/>
    <col min="6920" max="6920" width="0.28515625" style="108" customWidth="1"/>
    <col min="6921" max="6921" width="16" style="108" customWidth="1"/>
    <col min="6922" max="6922" width="15.85546875" style="108" customWidth="1"/>
    <col min="6923" max="6923" width="15.5703125" style="108" customWidth="1"/>
    <col min="6924" max="7165" width="11.42578125" style="108"/>
    <col min="7166" max="7166" width="10.5703125" style="108" customWidth="1"/>
    <col min="7167" max="7167" width="12.42578125" style="108" customWidth="1"/>
    <col min="7168" max="7168" width="16.140625" style="108" customWidth="1"/>
    <col min="7169" max="7169" width="0.5703125" style="108" customWidth="1"/>
    <col min="7170" max="7171" width="17.140625" style="108" customWidth="1"/>
    <col min="7172" max="7172" width="0.42578125" style="108" customWidth="1"/>
    <col min="7173" max="7173" width="19.42578125" style="108" bestFit="1" customWidth="1"/>
    <col min="7174" max="7174" width="16.5703125" style="108" bestFit="1" customWidth="1"/>
    <col min="7175" max="7175" width="16" style="108" bestFit="1" customWidth="1"/>
    <col min="7176" max="7176" width="0.28515625" style="108" customWidth="1"/>
    <col min="7177" max="7177" width="16" style="108" customWidth="1"/>
    <col min="7178" max="7178" width="15.85546875" style="108" customWidth="1"/>
    <col min="7179" max="7179" width="15.5703125" style="108" customWidth="1"/>
    <col min="7180" max="7421" width="11.42578125" style="108"/>
    <col min="7422" max="7422" width="10.5703125" style="108" customWidth="1"/>
    <col min="7423" max="7423" width="12.42578125" style="108" customWidth="1"/>
    <col min="7424" max="7424" width="16.140625" style="108" customWidth="1"/>
    <col min="7425" max="7425" width="0.5703125" style="108" customWidth="1"/>
    <col min="7426" max="7427" width="17.140625" style="108" customWidth="1"/>
    <col min="7428" max="7428" width="0.42578125" style="108" customWidth="1"/>
    <col min="7429" max="7429" width="19.42578125" style="108" bestFit="1" customWidth="1"/>
    <col min="7430" max="7430" width="16.5703125" style="108" bestFit="1" customWidth="1"/>
    <col min="7431" max="7431" width="16" style="108" bestFit="1" customWidth="1"/>
    <col min="7432" max="7432" width="0.28515625" style="108" customWidth="1"/>
    <col min="7433" max="7433" width="16" style="108" customWidth="1"/>
    <col min="7434" max="7434" width="15.85546875" style="108" customWidth="1"/>
    <col min="7435" max="7435" width="15.5703125" style="108" customWidth="1"/>
    <col min="7436" max="7677" width="11.42578125" style="108"/>
    <col min="7678" max="7678" width="10.5703125" style="108" customWidth="1"/>
    <col min="7679" max="7679" width="12.42578125" style="108" customWidth="1"/>
    <col min="7680" max="7680" width="16.140625" style="108" customWidth="1"/>
    <col min="7681" max="7681" width="0.5703125" style="108" customWidth="1"/>
    <col min="7682" max="7683" width="17.140625" style="108" customWidth="1"/>
    <col min="7684" max="7684" width="0.42578125" style="108" customWidth="1"/>
    <col min="7685" max="7685" width="19.42578125" style="108" bestFit="1" customWidth="1"/>
    <col min="7686" max="7686" width="16.5703125" style="108" bestFit="1" customWidth="1"/>
    <col min="7687" max="7687" width="16" style="108" bestFit="1" customWidth="1"/>
    <col min="7688" max="7688" width="0.28515625" style="108" customWidth="1"/>
    <col min="7689" max="7689" width="16" style="108" customWidth="1"/>
    <col min="7690" max="7690" width="15.85546875" style="108" customWidth="1"/>
    <col min="7691" max="7691" width="15.5703125" style="108" customWidth="1"/>
    <col min="7692" max="7933" width="11.42578125" style="108"/>
    <col min="7934" max="7934" width="10.5703125" style="108" customWidth="1"/>
    <col min="7935" max="7935" width="12.42578125" style="108" customWidth="1"/>
    <col min="7936" max="7936" width="16.140625" style="108" customWidth="1"/>
    <col min="7937" max="7937" width="0.5703125" style="108" customWidth="1"/>
    <col min="7938" max="7939" width="17.140625" style="108" customWidth="1"/>
    <col min="7940" max="7940" width="0.42578125" style="108" customWidth="1"/>
    <col min="7941" max="7941" width="19.42578125" style="108" bestFit="1" customWidth="1"/>
    <col min="7942" max="7942" width="16.5703125" style="108" bestFit="1" customWidth="1"/>
    <col min="7943" max="7943" width="16" style="108" bestFit="1" customWidth="1"/>
    <col min="7944" max="7944" width="0.28515625" style="108" customWidth="1"/>
    <col min="7945" max="7945" width="16" style="108" customWidth="1"/>
    <col min="7946" max="7946" width="15.85546875" style="108" customWidth="1"/>
    <col min="7947" max="7947" width="15.5703125" style="108" customWidth="1"/>
    <col min="7948" max="8189" width="11.42578125" style="108"/>
    <col min="8190" max="8190" width="10.5703125" style="108" customWidth="1"/>
    <col min="8191" max="8191" width="12.42578125" style="108" customWidth="1"/>
    <col min="8192" max="8192" width="16.140625" style="108" customWidth="1"/>
    <col min="8193" max="8193" width="0.5703125" style="108" customWidth="1"/>
    <col min="8194" max="8195" width="17.140625" style="108" customWidth="1"/>
    <col min="8196" max="8196" width="0.42578125" style="108" customWidth="1"/>
    <col min="8197" max="8197" width="19.42578125" style="108" bestFit="1" customWidth="1"/>
    <col min="8198" max="8198" width="16.5703125" style="108" bestFit="1" customWidth="1"/>
    <col min="8199" max="8199" width="16" style="108" bestFit="1" customWidth="1"/>
    <col min="8200" max="8200" width="0.28515625" style="108" customWidth="1"/>
    <col min="8201" max="8201" width="16" style="108" customWidth="1"/>
    <col min="8202" max="8202" width="15.85546875" style="108" customWidth="1"/>
    <col min="8203" max="8203" width="15.5703125" style="108" customWidth="1"/>
    <col min="8204" max="8445" width="11.42578125" style="108"/>
    <col min="8446" max="8446" width="10.5703125" style="108" customWidth="1"/>
    <col min="8447" max="8447" width="12.42578125" style="108" customWidth="1"/>
    <col min="8448" max="8448" width="16.140625" style="108" customWidth="1"/>
    <col min="8449" max="8449" width="0.5703125" style="108" customWidth="1"/>
    <col min="8450" max="8451" width="17.140625" style="108" customWidth="1"/>
    <col min="8452" max="8452" width="0.42578125" style="108" customWidth="1"/>
    <col min="8453" max="8453" width="19.42578125" style="108" bestFit="1" customWidth="1"/>
    <col min="8454" max="8454" width="16.5703125" style="108" bestFit="1" customWidth="1"/>
    <col min="8455" max="8455" width="16" style="108" bestFit="1" customWidth="1"/>
    <col min="8456" max="8456" width="0.28515625" style="108" customWidth="1"/>
    <col min="8457" max="8457" width="16" style="108" customWidth="1"/>
    <col min="8458" max="8458" width="15.85546875" style="108" customWidth="1"/>
    <col min="8459" max="8459" width="15.5703125" style="108" customWidth="1"/>
    <col min="8460" max="8701" width="11.42578125" style="108"/>
    <col min="8702" max="8702" width="10.5703125" style="108" customWidth="1"/>
    <col min="8703" max="8703" width="12.42578125" style="108" customWidth="1"/>
    <col min="8704" max="8704" width="16.140625" style="108" customWidth="1"/>
    <col min="8705" max="8705" width="0.5703125" style="108" customWidth="1"/>
    <col min="8706" max="8707" width="17.140625" style="108" customWidth="1"/>
    <col min="8708" max="8708" width="0.42578125" style="108" customWidth="1"/>
    <col min="8709" max="8709" width="19.42578125" style="108" bestFit="1" customWidth="1"/>
    <col min="8710" max="8710" width="16.5703125" style="108" bestFit="1" customWidth="1"/>
    <col min="8711" max="8711" width="16" style="108" bestFit="1" customWidth="1"/>
    <col min="8712" max="8712" width="0.28515625" style="108" customWidth="1"/>
    <col min="8713" max="8713" width="16" style="108" customWidth="1"/>
    <col min="8714" max="8714" width="15.85546875" style="108" customWidth="1"/>
    <col min="8715" max="8715" width="15.5703125" style="108" customWidth="1"/>
    <col min="8716" max="8957" width="11.42578125" style="108"/>
    <col min="8958" max="8958" width="10.5703125" style="108" customWidth="1"/>
    <col min="8959" max="8959" width="12.42578125" style="108" customWidth="1"/>
    <col min="8960" max="8960" width="16.140625" style="108" customWidth="1"/>
    <col min="8961" max="8961" width="0.5703125" style="108" customWidth="1"/>
    <col min="8962" max="8963" width="17.140625" style="108" customWidth="1"/>
    <col min="8964" max="8964" width="0.42578125" style="108" customWidth="1"/>
    <col min="8965" max="8965" width="19.42578125" style="108" bestFit="1" customWidth="1"/>
    <col min="8966" max="8966" width="16.5703125" style="108" bestFit="1" customWidth="1"/>
    <col min="8967" max="8967" width="16" style="108" bestFit="1" customWidth="1"/>
    <col min="8968" max="8968" width="0.28515625" style="108" customWidth="1"/>
    <col min="8969" max="8969" width="16" style="108" customWidth="1"/>
    <col min="8970" max="8970" width="15.85546875" style="108" customWidth="1"/>
    <col min="8971" max="8971" width="15.5703125" style="108" customWidth="1"/>
    <col min="8972" max="9213" width="11.42578125" style="108"/>
    <col min="9214" max="9214" width="10.5703125" style="108" customWidth="1"/>
    <col min="9215" max="9215" width="12.42578125" style="108" customWidth="1"/>
    <col min="9216" max="9216" width="16.140625" style="108" customWidth="1"/>
    <col min="9217" max="9217" width="0.5703125" style="108" customWidth="1"/>
    <col min="9218" max="9219" width="17.140625" style="108" customWidth="1"/>
    <col min="9220" max="9220" width="0.42578125" style="108" customWidth="1"/>
    <col min="9221" max="9221" width="19.42578125" style="108" bestFit="1" customWidth="1"/>
    <col min="9222" max="9222" width="16.5703125" style="108" bestFit="1" customWidth="1"/>
    <col min="9223" max="9223" width="16" style="108" bestFit="1" customWidth="1"/>
    <col min="9224" max="9224" width="0.28515625" style="108" customWidth="1"/>
    <col min="9225" max="9225" width="16" style="108" customWidth="1"/>
    <col min="9226" max="9226" width="15.85546875" style="108" customWidth="1"/>
    <col min="9227" max="9227" width="15.5703125" style="108" customWidth="1"/>
    <col min="9228" max="9469" width="11.42578125" style="108"/>
    <col min="9470" max="9470" width="10.5703125" style="108" customWidth="1"/>
    <col min="9471" max="9471" width="12.42578125" style="108" customWidth="1"/>
    <col min="9472" max="9472" width="16.140625" style="108" customWidth="1"/>
    <col min="9473" max="9473" width="0.5703125" style="108" customWidth="1"/>
    <col min="9474" max="9475" width="17.140625" style="108" customWidth="1"/>
    <col min="9476" max="9476" width="0.42578125" style="108" customWidth="1"/>
    <col min="9477" max="9477" width="19.42578125" style="108" bestFit="1" customWidth="1"/>
    <col min="9478" max="9478" width="16.5703125" style="108" bestFit="1" customWidth="1"/>
    <col min="9479" max="9479" width="16" style="108" bestFit="1" customWidth="1"/>
    <col min="9480" max="9480" width="0.28515625" style="108" customWidth="1"/>
    <col min="9481" max="9481" width="16" style="108" customWidth="1"/>
    <col min="9482" max="9482" width="15.85546875" style="108" customWidth="1"/>
    <col min="9483" max="9483" width="15.5703125" style="108" customWidth="1"/>
    <col min="9484" max="9725" width="11.42578125" style="108"/>
    <col min="9726" max="9726" width="10.5703125" style="108" customWidth="1"/>
    <col min="9727" max="9727" width="12.42578125" style="108" customWidth="1"/>
    <col min="9728" max="9728" width="16.140625" style="108" customWidth="1"/>
    <col min="9729" max="9729" width="0.5703125" style="108" customWidth="1"/>
    <col min="9730" max="9731" width="17.140625" style="108" customWidth="1"/>
    <col min="9732" max="9732" width="0.42578125" style="108" customWidth="1"/>
    <col min="9733" max="9733" width="19.42578125" style="108" bestFit="1" customWidth="1"/>
    <col min="9734" max="9734" width="16.5703125" style="108" bestFit="1" customWidth="1"/>
    <col min="9735" max="9735" width="16" style="108" bestFit="1" customWidth="1"/>
    <col min="9736" max="9736" width="0.28515625" style="108" customWidth="1"/>
    <col min="9737" max="9737" width="16" style="108" customWidth="1"/>
    <col min="9738" max="9738" width="15.85546875" style="108" customWidth="1"/>
    <col min="9739" max="9739" width="15.5703125" style="108" customWidth="1"/>
    <col min="9740" max="9981" width="11.42578125" style="108"/>
    <col min="9982" max="9982" width="10.5703125" style="108" customWidth="1"/>
    <col min="9983" max="9983" width="12.42578125" style="108" customWidth="1"/>
    <col min="9984" max="9984" width="16.140625" style="108" customWidth="1"/>
    <col min="9985" max="9985" width="0.5703125" style="108" customWidth="1"/>
    <col min="9986" max="9987" width="17.140625" style="108" customWidth="1"/>
    <col min="9988" max="9988" width="0.42578125" style="108" customWidth="1"/>
    <col min="9989" max="9989" width="19.42578125" style="108" bestFit="1" customWidth="1"/>
    <col min="9990" max="9990" width="16.5703125" style="108" bestFit="1" customWidth="1"/>
    <col min="9991" max="9991" width="16" style="108" bestFit="1" customWidth="1"/>
    <col min="9992" max="9992" width="0.28515625" style="108" customWidth="1"/>
    <col min="9993" max="9993" width="16" style="108" customWidth="1"/>
    <col min="9994" max="9994" width="15.85546875" style="108" customWidth="1"/>
    <col min="9995" max="9995" width="15.5703125" style="108" customWidth="1"/>
    <col min="9996" max="10237" width="11.42578125" style="108"/>
    <col min="10238" max="10238" width="10.5703125" style="108" customWidth="1"/>
    <col min="10239" max="10239" width="12.42578125" style="108" customWidth="1"/>
    <col min="10240" max="10240" width="16.140625" style="108" customWidth="1"/>
    <col min="10241" max="10241" width="0.5703125" style="108" customWidth="1"/>
    <col min="10242" max="10243" width="17.140625" style="108" customWidth="1"/>
    <col min="10244" max="10244" width="0.42578125" style="108" customWidth="1"/>
    <col min="10245" max="10245" width="19.42578125" style="108" bestFit="1" customWidth="1"/>
    <col min="10246" max="10246" width="16.5703125" style="108" bestFit="1" customWidth="1"/>
    <col min="10247" max="10247" width="16" style="108" bestFit="1" customWidth="1"/>
    <col min="10248" max="10248" width="0.28515625" style="108" customWidth="1"/>
    <col min="10249" max="10249" width="16" style="108" customWidth="1"/>
    <col min="10250" max="10250" width="15.85546875" style="108" customWidth="1"/>
    <col min="10251" max="10251" width="15.5703125" style="108" customWidth="1"/>
    <col min="10252" max="10493" width="11.42578125" style="108"/>
    <col min="10494" max="10494" width="10.5703125" style="108" customWidth="1"/>
    <col min="10495" max="10495" width="12.42578125" style="108" customWidth="1"/>
    <col min="10496" max="10496" width="16.140625" style="108" customWidth="1"/>
    <col min="10497" max="10497" width="0.5703125" style="108" customWidth="1"/>
    <col min="10498" max="10499" width="17.140625" style="108" customWidth="1"/>
    <col min="10500" max="10500" width="0.42578125" style="108" customWidth="1"/>
    <col min="10501" max="10501" width="19.42578125" style="108" bestFit="1" customWidth="1"/>
    <col min="10502" max="10502" width="16.5703125" style="108" bestFit="1" customWidth="1"/>
    <col min="10503" max="10503" width="16" style="108" bestFit="1" customWidth="1"/>
    <col min="10504" max="10504" width="0.28515625" style="108" customWidth="1"/>
    <col min="10505" max="10505" width="16" style="108" customWidth="1"/>
    <col min="10506" max="10506" width="15.85546875" style="108" customWidth="1"/>
    <col min="10507" max="10507" width="15.5703125" style="108" customWidth="1"/>
    <col min="10508" max="10749" width="11.42578125" style="108"/>
    <col min="10750" max="10750" width="10.5703125" style="108" customWidth="1"/>
    <col min="10751" max="10751" width="12.42578125" style="108" customWidth="1"/>
    <col min="10752" max="10752" width="16.140625" style="108" customWidth="1"/>
    <col min="10753" max="10753" width="0.5703125" style="108" customWidth="1"/>
    <col min="10754" max="10755" width="17.140625" style="108" customWidth="1"/>
    <col min="10756" max="10756" width="0.42578125" style="108" customWidth="1"/>
    <col min="10757" max="10757" width="19.42578125" style="108" bestFit="1" customWidth="1"/>
    <col min="10758" max="10758" width="16.5703125" style="108" bestFit="1" customWidth="1"/>
    <col min="10759" max="10759" width="16" style="108" bestFit="1" customWidth="1"/>
    <col min="10760" max="10760" width="0.28515625" style="108" customWidth="1"/>
    <col min="10761" max="10761" width="16" style="108" customWidth="1"/>
    <col min="10762" max="10762" width="15.85546875" style="108" customWidth="1"/>
    <col min="10763" max="10763" width="15.5703125" style="108" customWidth="1"/>
    <col min="10764" max="11005" width="11.42578125" style="108"/>
    <col min="11006" max="11006" width="10.5703125" style="108" customWidth="1"/>
    <col min="11007" max="11007" width="12.42578125" style="108" customWidth="1"/>
    <col min="11008" max="11008" width="16.140625" style="108" customWidth="1"/>
    <col min="11009" max="11009" width="0.5703125" style="108" customWidth="1"/>
    <col min="11010" max="11011" width="17.140625" style="108" customWidth="1"/>
    <col min="11012" max="11012" width="0.42578125" style="108" customWidth="1"/>
    <col min="11013" max="11013" width="19.42578125" style="108" bestFit="1" customWidth="1"/>
    <col min="11014" max="11014" width="16.5703125" style="108" bestFit="1" customWidth="1"/>
    <col min="11015" max="11015" width="16" style="108" bestFit="1" customWidth="1"/>
    <col min="11016" max="11016" width="0.28515625" style="108" customWidth="1"/>
    <col min="11017" max="11017" width="16" style="108" customWidth="1"/>
    <col min="11018" max="11018" width="15.85546875" style="108" customWidth="1"/>
    <col min="11019" max="11019" width="15.5703125" style="108" customWidth="1"/>
    <col min="11020" max="11261" width="11.42578125" style="108"/>
    <col min="11262" max="11262" width="10.5703125" style="108" customWidth="1"/>
    <col min="11263" max="11263" width="12.42578125" style="108" customWidth="1"/>
    <col min="11264" max="11264" width="16.140625" style="108" customWidth="1"/>
    <col min="11265" max="11265" width="0.5703125" style="108" customWidth="1"/>
    <col min="11266" max="11267" width="17.140625" style="108" customWidth="1"/>
    <col min="11268" max="11268" width="0.42578125" style="108" customWidth="1"/>
    <col min="11269" max="11269" width="19.42578125" style="108" bestFit="1" customWidth="1"/>
    <col min="11270" max="11270" width="16.5703125" style="108" bestFit="1" customWidth="1"/>
    <col min="11271" max="11271" width="16" style="108" bestFit="1" customWidth="1"/>
    <col min="11272" max="11272" width="0.28515625" style="108" customWidth="1"/>
    <col min="11273" max="11273" width="16" style="108" customWidth="1"/>
    <col min="11274" max="11274" width="15.85546875" style="108" customWidth="1"/>
    <col min="11275" max="11275" width="15.5703125" style="108" customWidth="1"/>
    <col min="11276" max="11517" width="11.42578125" style="108"/>
    <col min="11518" max="11518" width="10.5703125" style="108" customWidth="1"/>
    <col min="11519" max="11519" width="12.42578125" style="108" customWidth="1"/>
    <col min="11520" max="11520" width="16.140625" style="108" customWidth="1"/>
    <col min="11521" max="11521" width="0.5703125" style="108" customWidth="1"/>
    <col min="11522" max="11523" width="17.140625" style="108" customWidth="1"/>
    <col min="11524" max="11524" width="0.42578125" style="108" customWidth="1"/>
    <col min="11525" max="11525" width="19.42578125" style="108" bestFit="1" customWidth="1"/>
    <col min="11526" max="11526" width="16.5703125" style="108" bestFit="1" customWidth="1"/>
    <col min="11527" max="11527" width="16" style="108" bestFit="1" customWidth="1"/>
    <col min="11528" max="11528" width="0.28515625" style="108" customWidth="1"/>
    <col min="11529" max="11529" width="16" style="108" customWidth="1"/>
    <col min="11530" max="11530" width="15.85546875" style="108" customWidth="1"/>
    <col min="11531" max="11531" width="15.5703125" style="108" customWidth="1"/>
    <col min="11532" max="11773" width="11.42578125" style="108"/>
    <col min="11774" max="11774" width="10.5703125" style="108" customWidth="1"/>
    <col min="11775" max="11775" width="12.42578125" style="108" customWidth="1"/>
    <col min="11776" max="11776" width="16.140625" style="108" customWidth="1"/>
    <col min="11777" max="11777" width="0.5703125" style="108" customWidth="1"/>
    <col min="11778" max="11779" width="17.140625" style="108" customWidth="1"/>
    <col min="11780" max="11780" width="0.42578125" style="108" customWidth="1"/>
    <col min="11781" max="11781" width="19.42578125" style="108" bestFit="1" customWidth="1"/>
    <col min="11782" max="11782" width="16.5703125" style="108" bestFit="1" customWidth="1"/>
    <col min="11783" max="11783" width="16" style="108" bestFit="1" customWidth="1"/>
    <col min="11784" max="11784" width="0.28515625" style="108" customWidth="1"/>
    <col min="11785" max="11785" width="16" style="108" customWidth="1"/>
    <col min="11786" max="11786" width="15.85546875" style="108" customWidth="1"/>
    <col min="11787" max="11787" width="15.5703125" style="108" customWidth="1"/>
    <col min="11788" max="12029" width="11.42578125" style="108"/>
    <col min="12030" max="12030" width="10.5703125" style="108" customWidth="1"/>
    <col min="12031" max="12031" width="12.42578125" style="108" customWidth="1"/>
    <col min="12032" max="12032" width="16.140625" style="108" customWidth="1"/>
    <col min="12033" max="12033" width="0.5703125" style="108" customWidth="1"/>
    <col min="12034" max="12035" width="17.140625" style="108" customWidth="1"/>
    <col min="12036" max="12036" width="0.42578125" style="108" customWidth="1"/>
    <col min="12037" max="12037" width="19.42578125" style="108" bestFit="1" customWidth="1"/>
    <col min="12038" max="12038" width="16.5703125" style="108" bestFit="1" customWidth="1"/>
    <col min="12039" max="12039" width="16" style="108" bestFit="1" customWidth="1"/>
    <col min="12040" max="12040" width="0.28515625" style="108" customWidth="1"/>
    <col min="12041" max="12041" width="16" style="108" customWidth="1"/>
    <col min="12042" max="12042" width="15.85546875" style="108" customWidth="1"/>
    <col min="12043" max="12043" width="15.5703125" style="108" customWidth="1"/>
    <col min="12044" max="12285" width="11.42578125" style="108"/>
    <col min="12286" max="12286" width="10.5703125" style="108" customWidth="1"/>
    <col min="12287" max="12287" width="12.42578125" style="108" customWidth="1"/>
    <col min="12288" max="12288" width="16.140625" style="108" customWidth="1"/>
    <col min="12289" max="12289" width="0.5703125" style="108" customWidth="1"/>
    <col min="12290" max="12291" width="17.140625" style="108" customWidth="1"/>
    <col min="12292" max="12292" width="0.42578125" style="108" customWidth="1"/>
    <col min="12293" max="12293" width="19.42578125" style="108" bestFit="1" customWidth="1"/>
    <col min="12294" max="12294" width="16.5703125" style="108" bestFit="1" customWidth="1"/>
    <col min="12295" max="12295" width="16" style="108" bestFit="1" customWidth="1"/>
    <col min="12296" max="12296" width="0.28515625" style="108" customWidth="1"/>
    <col min="12297" max="12297" width="16" style="108" customWidth="1"/>
    <col min="12298" max="12298" width="15.85546875" style="108" customWidth="1"/>
    <col min="12299" max="12299" width="15.5703125" style="108" customWidth="1"/>
    <col min="12300" max="12541" width="11.42578125" style="108"/>
    <col min="12542" max="12542" width="10.5703125" style="108" customWidth="1"/>
    <col min="12543" max="12543" width="12.42578125" style="108" customWidth="1"/>
    <col min="12544" max="12544" width="16.140625" style="108" customWidth="1"/>
    <col min="12545" max="12545" width="0.5703125" style="108" customWidth="1"/>
    <col min="12546" max="12547" width="17.140625" style="108" customWidth="1"/>
    <col min="12548" max="12548" width="0.42578125" style="108" customWidth="1"/>
    <col min="12549" max="12549" width="19.42578125" style="108" bestFit="1" customWidth="1"/>
    <col min="12550" max="12550" width="16.5703125" style="108" bestFit="1" customWidth="1"/>
    <col min="12551" max="12551" width="16" style="108" bestFit="1" customWidth="1"/>
    <col min="12552" max="12552" width="0.28515625" style="108" customWidth="1"/>
    <col min="12553" max="12553" width="16" style="108" customWidth="1"/>
    <col min="12554" max="12554" width="15.85546875" style="108" customWidth="1"/>
    <col min="12555" max="12555" width="15.5703125" style="108" customWidth="1"/>
    <col min="12556" max="12797" width="11.42578125" style="108"/>
    <col min="12798" max="12798" width="10.5703125" style="108" customWidth="1"/>
    <col min="12799" max="12799" width="12.42578125" style="108" customWidth="1"/>
    <col min="12800" max="12800" width="16.140625" style="108" customWidth="1"/>
    <col min="12801" max="12801" width="0.5703125" style="108" customWidth="1"/>
    <col min="12802" max="12803" width="17.140625" style="108" customWidth="1"/>
    <col min="12804" max="12804" width="0.42578125" style="108" customWidth="1"/>
    <col min="12805" max="12805" width="19.42578125" style="108" bestFit="1" customWidth="1"/>
    <col min="12806" max="12806" width="16.5703125" style="108" bestFit="1" customWidth="1"/>
    <col min="12807" max="12807" width="16" style="108" bestFit="1" customWidth="1"/>
    <col min="12808" max="12808" width="0.28515625" style="108" customWidth="1"/>
    <col min="12809" max="12809" width="16" style="108" customWidth="1"/>
    <col min="12810" max="12810" width="15.85546875" style="108" customWidth="1"/>
    <col min="12811" max="12811" width="15.5703125" style="108" customWidth="1"/>
    <col min="12812" max="13053" width="11.42578125" style="108"/>
    <col min="13054" max="13054" width="10.5703125" style="108" customWidth="1"/>
    <col min="13055" max="13055" width="12.42578125" style="108" customWidth="1"/>
    <col min="13056" max="13056" width="16.140625" style="108" customWidth="1"/>
    <col min="13057" max="13057" width="0.5703125" style="108" customWidth="1"/>
    <col min="13058" max="13059" width="17.140625" style="108" customWidth="1"/>
    <col min="13060" max="13060" width="0.42578125" style="108" customWidth="1"/>
    <col min="13061" max="13061" width="19.42578125" style="108" bestFit="1" customWidth="1"/>
    <col min="13062" max="13062" width="16.5703125" style="108" bestFit="1" customWidth="1"/>
    <col min="13063" max="13063" width="16" style="108" bestFit="1" customWidth="1"/>
    <col min="13064" max="13064" width="0.28515625" style="108" customWidth="1"/>
    <col min="13065" max="13065" width="16" style="108" customWidth="1"/>
    <col min="13066" max="13066" width="15.85546875" style="108" customWidth="1"/>
    <col min="13067" max="13067" width="15.5703125" style="108" customWidth="1"/>
    <col min="13068" max="13309" width="11.42578125" style="108"/>
    <col min="13310" max="13310" width="10.5703125" style="108" customWidth="1"/>
    <col min="13311" max="13311" width="12.42578125" style="108" customWidth="1"/>
    <col min="13312" max="13312" width="16.140625" style="108" customWidth="1"/>
    <col min="13313" max="13313" width="0.5703125" style="108" customWidth="1"/>
    <col min="13314" max="13315" width="17.140625" style="108" customWidth="1"/>
    <col min="13316" max="13316" width="0.42578125" style="108" customWidth="1"/>
    <col min="13317" max="13317" width="19.42578125" style="108" bestFit="1" customWidth="1"/>
    <col min="13318" max="13318" width="16.5703125" style="108" bestFit="1" customWidth="1"/>
    <col min="13319" max="13319" width="16" style="108" bestFit="1" customWidth="1"/>
    <col min="13320" max="13320" width="0.28515625" style="108" customWidth="1"/>
    <col min="13321" max="13321" width="16" style="108" customWidth="1"/>
    <col min="13322" max="13322" width="15.85546875" style="108" customWidth="1"/>
    <col min="13323" max="13323" width="15.5703125" style="108" customWidth="1"/>
    <col min="13324" max="13565" width="11.42578125" style="108"/>
    <col min="13566" max="13566" width="10.5703125" style="108" customWidth="1"/>
    <col min="13567" max="13567" width="12.42578125" style="108" customWidth="1"/>
    <col min="13568" max="13568" width="16.140625" style="108" customWidth="1"/>
    <col min="13569" max="13569" width="0.5703125" style="108" customWidth="1"/>
    <col min="13570" max="13571" width="17.140625" style="108" customWidth="1"/>
    <col min="13572" max="13572" width="0.42578125" style="108" customWidth="1"/>
    <col min="13573" max="13573" width="19.42578125" style="108" bestFit="1" customWidth="1"/>
    <col min="13574" max="13574" width="16.5703125" style="108" bestFit="1" customWidth="1"/>
    <col min="13575" max="13575" width="16" style="108" bestFit="1" customWidth="1"/>
    <col min="13576" max="13576" width="0.28515625" style="108" customWidth="1"/>
    <col min="13577" max="13577" width="16" style="108" customWidth="1"/>
    <col min="13578" max="13578" width="15.85546875" style="108" customWidth="1"/>
    <col min="13579" max="13579" width="15.5703125" style="108" customWidth="1"/>
    <col min="13580" max="13821" width="11.42578125" style="108"/>
    <col min="13822" max="13822" width="10.5703125" style="108" customWidth="1"/>
    <col min="13823" max="13823" width="12.42578125" style="108" customWidth="1"/>
    <col min="13824" max="13824" width="16.140625" style="108" customWidth="1"/>
    <col min="13825" max="13825" width="0.5703125" style="108" customWidth="1"/>
    <col min="13826" max="13827" width="17.140625" style="108" customWidth="1"/>
    <col min="13828" max="13828" width="0.42578125" style="108" customWidth="1"/>
    <col min="13829" max="13829" width="19.42578125" style="108" bestFit="1" customWidth="1"/>
    <col min="13830" max="13830" width="16.5703125" style="108" bestFit="1" customWidth="1"/>
    <col min="13831" max="13831" width="16" style="108" bestFit="1" customWidth="1"/>
    <col min="13832" max="13832" width="0.28515625" style="108" customWidth="1"/>
    <col min="13833" max="13833" width="16" style="108" customWidth="1"/>
    <col min="13834" max="13834" width="15.85546875" style="108" customWidth="1"/>
    <col min="13835" max="13835" width="15.5703125" style="108" customWidth="1"/>
    <col min="13836" max="14077" width="11.42578125" style="108"/>
    <col min="14078" max="14078" width="10.5703125" style="108" customWidth="1"/>
    <col min="14079" max="14079" width="12.42578125" style="108" customWidth="1"/>
    <col min="14080" max="14080" width="16.140625" style="108" customWidth="1"/>
    <col min="14081" max="14081" width="0.5703125" style="108" customWidth="1"/>
    <col min="14082" max="14083" width="17.140625" style="108" customWidth="1"/>
    <col min="14084" max="14084" width="0.42578125" style="108" customWidth="1"/>
    <col min="14085" max="14085" width="19.42578125" style="108" bestFit="1" customWidth="1"/>
    <col min="14086" max="14086" width="16.5703125" style="108" bestFit="1" customWidth="1"/>
    <col min="14087" max="14087" width="16" style="108" bestFit="1" customWidth="1"/>
    <col min="14088" max="14088" width="0.28515625" style="108" customWidth="1"/>
    <col min="14089" max="14089" width="16" style="108" customWidth="1"/>
    <col min="14090" max="14090" width="15.85546875" style="108" customWidth="1"/>
    <col min="14091" max="14091" width="15.5703125" style="108" customWidth="1"/>
    <col min="14092" max="14333" width="11.42578125" style="108"/>
    <col min="14334" max="14334" width="10.5703125" style="108" customWidth="1"/>
    <col min="14335" max="14335" width="12.42578125" style="108" customWidth="1"/>
    <col min="14336" max="14336" width="16.140625" style="108" customWidth="1"/>
    <col min="14337" max="14337" width="0.5703125" style="108" customWidth="1"/>
    <col min="14338" max="14339" width="17.140625" style="108" customWidth="1"/>
    <col min="14340" max="14340" width="0.42578125" style="108" customWidth="1"/>
    <col min="14341" max="14341" width="19.42578125" style="108" bestFit="1" customWidth="1"/>
    <col min="14342" max="14342" width="16.5703125" style="108" bestFit="1" customWidth="1"/>
    <col min="14343" max="14343" width="16" style="108" bestFit="1" customWidth="1"/>
    <col min="14344" max="14344" width="0.28515625" style="108" customWidth="1"/>
    <col min="14345" max="14345" width="16" style="108" customWidth="1"/>
    <col min="14346" max="14346" width="15.85546875" style="108" customWidth="1"/>
    <col min="14347" max="14347" width="15.5703125" style="108" customWidth="1"/>
    <col min="14348" max="14589" width="11.42578125" style="108"/>
    <col min="14590" max="14590" width="10.5703125" style="108" customWidth="1"/>
    <col min="14591" max="14591" width="12.42578125" style="108" customWidth="1"/>
    <col min="14592" max="14592" width="16.140625" style="108" customWidth="1"/>
    <col min="14593" max="14593" width="0.5703125" style="108" customWidth="1"/>
    <col min="14594" max="14595" width="17.140625" style="108" customWidth="1"/>
    <col min="14596" max="14596" width="0.42578125" style="108" customWidth="1"/>
    <col min="14597" max="14597" width="19.42578125" style="108" bestFit="1" customWidth="1"/>
    <col min="14598" max="14598" width="16.5703125" style="108" bestFit="1" customWidth="1"/>
    <col min="14599" max="14599" width="16" style="108" bestFit="1" customWidth="1"/>
    <col min="14600" max="14600" width="0.28515625" style="108" customWidth="1"/>
    <col min="14601" max="14601" width="16" style="108" customWidth="1"/>
    <col min="14602" max="14602" width="15.85546875" style="108" customWidth="1"/>
    <col min="14603" max="14603" width="15.5703125" style="108" customWidth="1"/>
    <col min="14604" max="14845" width="11.42578125" style="108"/>
    <col min="14846" max="14846" width="10.5703125" style="108" customWidth="1"/>
    <col min="14847" max="14847" width="12.42578125" style="108" customWidth="1"/>
    <col min="14848" max="14848" width="16.140625" style="108" customWidth="1"/>
    <col min="14849" max="14849" width="0.5703125" style="108" customWidth="1"/>
    <col min="14850" max="14851" width="17.140625" style="108" customWidth="1"/>
    <col min="14852" max="14852" width="0.42578125" style="108" customWidth="1"/>
    <col min="14853" max="14853" width="19.42578125" style="108" bestFit="1" customWidth="1"/>
    <col min="14854" max="14854" width="16.5703125" style="108" bestFit="1" customWidth="1"/>
    <col min="14855" max="14855" width="16" style="108" bestFit="1" customWidth="1"/>
    <col min="14856" max="14856" width="0.28515625" style="108" customWidth="1"/>
    <col min="14857" max="14857" width="16" style="108" customWidth="1"/>
    <col min="14858" max="14858" width="15.85546875" style="108" customWidth="1"/>
    <col min="14859" max="14859" width="15.5703125" style="108" customWidth="1"/>
    <col min="14860" max="15101" width="11.42578125" style="108"/>
    <col min="15102" max="15102" width="10.5703125" style="108" customWidth="1"/>
    <col min="15103" max="15103" width="12.42578125" style="108" customWidth="1"/>
    <col min="15104" max="15104" width="16.140625" style="108" customWidth="1"/>
    <col min="15105" max="15105" width="0.5703125" style="108" customWidth="1"/>
    <col min="15106" max="15107" width="17.140625" style="108" customWidth="1"/>
    <col min="15108" max="15108" width="0.42578125" style="108" customWidth="1"/>
    <col min="15109" max="15109" width="19.42578125" style="108" bestFit="1" customWidth="1"/>
    <col min="15110" max="15110" width="16.5703125" style="108" bestFit="1" customWidth="1"/>
    <col min="15111" max="15111" width="16" style="108" bestFit="1" customWidth="1"/>
    <col min="15112" max="15112" width="0.28515625" style="108" customWidth="1"/>
    <col min="15113" max="15113" width="16" style="108" customWidth="1"/>
    <col min="15114" max="15114" width="15.85546875" style="108" customWidth="1"/>
    <col min="15115" max="15115" width="15.5703125" style="108" customWidth="1"/>
    <col min="15116" max="15357" width="11.42578125" style="108"/>
    <col min="15358" max="15358" width="10.5703125" style="108" customWidth="1"/>
    <col min="15359" max="15359" width="12.42578125" style="108" customWidth="1"/>
    <col min="15360" max="15360" width="16.140625" style="108" customWidth="1"/>
    <col min="15361" max="15361" width="0.5703125" style="108" customWidth="1"/>
    <col min="15362" max="15363" width="17.140625" style="108" customWidth="1"/>
    <col min="15364" max="15364" width="0.42578125" style="108" customWidth="1"/>
    <col min="15365" max="15365" width="19.42578125" style="108" bestFit="1" customWidth="1"/>
    <col min="15366" max="15366" width="16.5703125" style="108" bestFit="1" customWidth="1"/>
    <col min="15367" max="15367" width="16" style="108" bestFit="1" customWidth="1"/>
    <col min="15368" max="15368" width="0.28515625" style="108" customWidth="1"/>
    <col min="15369" max="15369" width="16" style="108" customWidth="1"/>
    <col min="15370" max="15370" width="15.85546875" style="108" customWidth="1"/>
    <col min="15371" max="15371" width="15.5703125" style="108" customWidth="1"/>
    <col min="15372" max="15613" width="11.42578125" style="108"/>
    <col min="15614" max="15614" width="10.5703125" style="108" customWidth="1"/>
    <col min="15615" max="15615" width="12.42578125" style="108" customWidth="1"/>
    <col min="15616" max="15616" width="16.140625" style="108" customWidth="1"/>
    <col min="15617" max="15617" width="0.5703125" style="108" customWidth="1"/>
    <col min="15618" max="15619" width="17.140625" style="108" customWidth="1"/>
    <col min="15620" max="15620" width="0.42578125" style="108" customWidth="1"/>
    <col min="15621" max="15621" width="19.42578125" style="108" bestFit="1" customWidth="1"/>
    <col min="15622" max="15622" width="16.5703125" style="108" bestFit="1" customWidth="1"/>
    <col min="15623" max="15623" width="16" style="108" bestFit="1" customWidth="1"/>
    <col min="15624" max="15624" width="0.28515625" style="108" customWidth="1"/>
    <col min="15625" max="15625" width="16" style="108" customWidth="1"/>
    <col min="15626" max="15626" width="15.85546875" style="108" customWidth="1"/>
    <col min="15627" max="15627" width="15.5703125" style="108" customWidth="1"/>
    <col min="15628" max="15869" width="11.42578125" style="108"/>
    <col min="15870" max="15870" width="10.5703125" style="108" customWidth="1"/>
    <col min="15871" max="15871" width="12.42578125" style="108" customWidth="1"/>
    <col min="15872" max="15872" width="16.140625" style="108" customWidth="1"/>
    <col min="15873" max="15873" width="0.5703125" style="108" customWidth="1"/>
    <col min="15874" max="15875" width="17.140625" style="108" customWidth="1"/>
    <col min="15876" max="15876" width="0.42578125" style="108" customWidth="1"/>
    <col min="15877" max="15877" width="19.42578125" style="108" bestFit="1" customWidth="1"/>
    <col min="15878" max="15878" width="16.5703125" style="108" bestFit="1" customWidth="1"/>
    <col min="15879" max="15879" width="16" style="108" bestFit="1" customWidth="1"/>
    <col min="15880" max="15880" width="0.28515625" style="108" customWidth="1"/>
    <col min="15881" max="15881" width="16" style="108" customWidth="1"/>
    <col min="15882" max="15882" width="15.85546875" style="108" customWidth="1"/>
    <col min="15883" max="15883" width="15.5703125" style="108" customWidth="1"/>
    <col min="15884" max="16125" width="11.42578125" style="108"/>
    <col min="16126" max="16126" width="10.5703125" style="108" customWidth="1"/>
    <col min="16127" max="16127" width="12.42578125" style="108" customWidth="1"/>
    <col min="16128" max="16128" width="16.140625" style="108" customWidth="1"/>
    <col min="16129" max="16129" width="0.5703125" style="108" customWidth="1"/>
    <col min="16130" max="16131" width="17.140625" style="108" customWidth="1"/>
    <col min="16132" max="16132" width="0.42578125" style="108" customWidth="1"/>
    <col min="16133" max="16133" width="19.42578125" style="108" bestFit="1" customWidth="1"/>
    <col min="16134" max="16134" width="16.5703125" style="108" bestFit="1" customWidth="1"/>
    <col min="16135" max="16135" width="16" style="108" bestFit="1" customWidth="1"/>
    <col min="16136" max="16136" width="0.28515625" style="108" customWidth="1"/>
    <col min="16137" max="16137" width="16" style="108" customWidth="1"/>
    <col min="16138" max="16138" width="15.85546875" style="108" customWidth="1"/>
    <col min="16139" max="16139" width="15.5703125" style="108" customWidth="1"/>
    <col min="16140" max="16384" width="11.42578125" style="108"/>
  </cols>
  <sheetData>
    <row r="2" spans="1:11">
      <c r="A2" s="114"/>
    </row>
    <row r="3" spans="1:11">
      <c r="A3" s="294" t="s">
        <v>137</v>
      </c>
      <c r="B3" s="294"/>
      <c r="C3" s="294"/>
      <c r="D3" s="294"/>
      <c r="E3" s="294"/>
      <c r="F3" s="294"/>
      <c r="G3" s="294"/>
      <c r="H3" s="294"/>
      <c r="I3" s="115"/>
      <c r="J3" s="115"/>
    </row>
    <row r="4" spans="1:11">
      <c r="A4" s="115"/>
      <c r="E4" s="2"/>
      <c r="F4" s="2"/>
    </row>
    <row r="5" spans="1:11" ht="12.75" customHeight="1" thickBot="1">
      <c r="A5" s="115"/>
      <c r="E5" s="2"/>
      <c r="F5" s="2"/>
    </row>
    <row r="6" spans="1:11" ht="15.95" customHeight="1" thickBot="1">
      <c r="A6" s="289" t="s">
        <v>168</v>
      </c>
      <c r="B6" s="290"/>
      <c r="C6" s="290"/>
      <c r="D6" s="290"/>
      <c r="E6" s="290"/>
      <c r="F6" s="290"/>
      <c r="G6" s="290"/>
      <c r="H6" s="291"/>
    </row>
    <row r="7" spans="1:11" s="110" customFormat="1" ht="15.95" customHeight="1">
      <c r="A7" s="126"/>
      <c r="B7" s="295" t="s">
        <v>139</v>
      </c>
      <c r="C7" s="295"/>
      <c r="D7" s="295" t="s">
        <v>140</v>
      </c>
      <c r="E7" s="295"/>
      <c r="F7" s="295" t="s">
        <v>141</v>
      </c>
      <c r="G7" s="295"/>
      <c r="H7" s="295"/>
      <c r="I7" s="2"/>
      <c r="J7" s="2"/>
      <c r="K7" s="2"/>
    </row>
    <row r="8" spans="1:11" s="112" customFormat="1" ht="48" customHeight="1">
      <c r="A8" s="28" t="s">
        <v>185</v>
      </c>
      <c r="B8" s="28" t="s">
        <v>142</v>
      </c>
      <c r="C8" s="260" t="s">
        <v>464</v>
      </c>
      <c r="D8" s="28" t="s">
        <v>143</v>
      </c>
      <c r="E8" s="28" t="s">
        <v>144</v>
      </c>
      <c r="F8" s="28" t="s">
        <v>145</v>
      </c>
      <c r="G8" s="28" t="s">
        <v>146</v>
      </c>
      <c r="H8" s="28" t="s">
        <v>147</v>
      </c>
      <c r="I8" s="117"/>
      <c r="J8" s="117"/>
      <c r="K8" s="117"/>
    </row>
    <row r="9" spans="1:11">
      <c r="A9" s="8">
        <v>1.2</v>
      </c>
      <c r="B9" s="26">
        <v>0.55000000000000004</v>
      </c>
      <c r="C9" s="127">
        <f>$E$50*B9</f>
        <v>5681765.2938200003</v>
      </c>
      <c r="D9" s="127">
        <v>0</v>
      </c>
      <c r="E9" s="127">
        <f>D9+C9</f>
        <v>5681765.2938200003</v>
      </c>
      <c r="F9" s="127">
        <f>E50*E53</f>
        <v>309914.47057199996</v>
      </c>
      <c r="G9" s="127">
        <f>E54*E50</f>
        <v>309914.47057199996</v>
      </c>
      <c r="H9" s="127">
        <f>E9*$E$52</f>
        <v>313918.36722515192</v>
      </c>
      <c r="I9" s="118"/>
      <c r="J9" s="118"/>
      <c r="K9" s="118"/>
    </row>
    <row r="10" spans="1:11">
      <c r="A10" s="126">
        <v>3.4</v>
      </c>
      <c r="B10" s="26">
        <v>0.45</v>
      </c>
      <c r="C10" s="127">
        <f>$E$50*B10</f>
        <v>4648717.05858</v>
      </c>
      <c r="D10" s="127">
        <f>E9</f>
        <v>5681765.2938200003</v>
      </c>
      <c r="E10" s="127">
        <f>C10+D10</f>
        <v>10330482.352400001</v>
      </c>
      <c r="F10" s="127"/>
      <c r="G10" s="127"/>
      <c r="H10" s="127">
        <f>E10*$E$52</f>
        <v>570760.66768209438</v>
      </c>
      <c r="I10" s="118"/>
      <c r="J10" s="118"/>
      <c r="K10" s="118"/>
    </row>
    <row r="11" spans="1:11">
      <c r="A11" s="8" t="s">
        <v>148</v>
      </c>
      <c r="B11" s="130">
        <f>SUM(B9:B10)</f>
        <v>1</v>
      </c>
      <c r="C11" s="131">
        <f>SUM(C9:C10)</f>
        <v>10330482.352400001</v>
      </c>
      <c r="D11" s="8"/>
      <c r="E11" s="8"/>
      <c r="F11" s="131">
        <f>SUM(F9:F10)</f>
        <v>309914.47057199996</v>
      </c>
      <c r="G11" s="131">
        <f>SUM(G9:G10)</f>
        <v>309914.47057199996</v>
      </c>
      <c r="H11" s="131">
        <f>SUM(H9:H10)</f>
        <v>884679.03490724624</v>
      </c>
      <c r="I11" s="118"/>
      <c r="J11" s="118"/>
      <c r="K11" s="118"/>
    </row>
    <row r="12" spans="1:11">
      <c r="A12" s="128"/>
      <c r="B12" s="128"/>
      <c r="C12" s="128"/>
      <c r="D12" s="132"/>
      <c r="E12" s="132"/>
      <c r="F12" s="292" t="s">
        <v>149</v>
      </c>
      <c r="G12" s="293"/>
      <c r="H12" s="131">
        <f>SUM(F11+G11+H11)</f>
        <v>1504507.9760512463</v>
      </c>
      <c r="I12" s="118"/>
      <c r="J12" s="118"/>
      <c r="K12" s="118"/>
    </row>
    <row r="13" spans="1:11" ht="16.5" thickBot="1">
      <c r="A13" s="122"/>
      <c r="B13" s="124"/>
      <c r="C13" s="125"/>
      <c r="D13" s="125"/>
      <c r="E13" s="125"/>
      <c r="F13" s="120"/>
      <c r="G13" s="125"/>
      <c r="H13" s="120"/>
      <c r="I13" s="118"/>
      <c r="J13" s="118"/>
      <c r="K13" s="118"/>
    </row>
    <row r="14" spans="1:11" ht="15.95" customHeight="1" thickBot="1">
      <c r="A14" s="289" t="s">
        <v>169</v>
      </c>
      <c r="B14" s="290"/>
      <c r="C14" s="290"/>
      <c r="D14" s="290"/>
      <c r="E14" s="290"/>
      <c r="F14" s="290"/>
      <c r="G14" s="291"/>
      <c r="H14" s="134"/>
      <c r="I14" s="118"/>
      <c r="J14" s="118"/>
      <c r="K14" s="118"/>
    </row>
    <row r="15" spans="1:11" ht="15.95" customHeight="1">
      <c r="A15" s="133"/>
      <c r="B15" s="124"/>
      <c r="C15" s="296" t="s">
        <v>140</v>
      </c>
      <c r="D15" s="296"/>
      <c r="E15" s="296" t="s">
        <v>150</v>
      </c>
      <c r="F15" s="296"/>
      <c r="G15" s="296"/>
      <c r="H15" s="118"/>
      <c r="I15" s="118"/>
      <c r="J15" s="118"/>
      <c r="K15" s="108"/>
    </row>
    <row r="16" spans="1:11" ht="31.5">
      <c r="A16" s="133"/>
      <c r="B16" s="124"/>
      <c r="C16" s="28" t="s">
        <v>143</v>
      </c>
      <c r="D16" s="28" t="s">
        <v>144</v>
      </c>
      <c r="E16" s="28" t="s">
        <v>151</v>
      </c>
      <c r="F16" s="28" t="s">
        <v>152</v>
      </c>
      <c r="G16" s="28" t="s">
        <v>153</v>
      </c>
      <c r="H16" s="118"/>
      <c r="I16" s="118"/>
      <c r="J16" s="118"/>
      <c r="K16" s="108"/>
    </row>
    <row r="17" spans="1:11">
      <c r="A17" s="8">
        <v>1</v>
      </c>
      <c r="B17" s="127" t="s">
        <v>154</v>
      </c>
      <c r="C17" s="127">
        <f>E10</f>
        <v>10330482.352400001</v>
      </c>
      <c r="D17" s="127">
        <f>C17</f>
        <v>10330482.352400001</v>
      </c>
      <c r="E17" s="127">
        <f>G17</f>
        <v>570760.66768209438</v>
      </c>
      <c r="F17" s="127">
        <f>E17-G17</f>
        <v>0</v>
      </c>
      <c r="G17" s="127">
        <f t="shared" ref="G17:G22" si="0">C17*$E$52</f>
        <v>570760.66768209438</v>
      </c>
      <c r="H17" s="118"/>
      <c r="I17" s="118"/>
      <c r="J17" s="118"/>
      <c r="K17" s="108"/>
    </row>
    <row r="18" spans="1:11">
      <c r="A18" s="8">
        <v>2</v>
      </c>
      <c r="B18" s="127" t="s">
        <v>155</v>
      </c>
      <c r="C18" s="127">
        <f>C17</f>
        <v>10330482.352400001</v>
      </c>
      <c r="D18" s="127">
        <f t="shared" ref="D18:D19" si="1">C18</f>
        <v>10330482.352400001</v>
      </c>
      <c r="E18" s="127">
        <f t="shared" ref="E18:E20" si="2">G18</f>
        <v>570760.66768209438</v>
      </c>
      <c r="F18" s="127">
        <f t="shared" ref="F18:F36" si="3">E18-G18</f>
        <v>0</v>
      </c>
      <c r="G18" s="127">
        <f t="shared" si="0"/>
        <v>570760.66768209438</v>
      </c>
      <c r="H18" s="118"/>
      <c r="I18" s="118"/>
      <c r="J18" s="118"/>
      <c r="K18" s="108"/>
    </row>
    <row r="19" spans="1:11">
      <c r="A19" s="8">
        <v>3</v>
      </c>
      <c r="B19" s="127" t="s">
        <v>156</v>
      </c>
      <c r="C19" s="127">
        <f>C18</f>
        <v>10330482.352400001</v>
      </c>
      <c r="D19" s="127">
        <f t="shared" si="1"/>
        <v>10330482.352400001</v>
      </c>
      <c r="E19" s="127">
        <f t="shared" si="2"/>
        <v>570760.66768209438</v>
      </c>
      <c r="F19" s="127">
        <f t="shared" si="3"/>
        <v>0</v>
      </c>
      <c r="G19" s="127">
        <f t="shared" si="0"/>
        <v>570760.66768209438</v>
      </c>
      <c r="H19" s="118"/>
      <c r="I19" s="118"/>
      <c r="J19" s="118"/>
      <c r="K19" s="108"/>
    </row>
    <row r="20" spans="1:11">
      <c r="A20" s="8">
        <v>4</v>
      </c>
      <c r="B20" s="127" t="s">
        <v>157</v>
      </c>
      <c r="C20" s="127">
        <f>C19</f>
        <v>10330482.352400001</v>
      </c>
      <c r="D20" s="127">
        <f>C20</f>
        <v>10330482.352400001</v>
      </c>
      <c r="E20" s="127">
        <f t="shared" si="2"/>
        <v>570760.66768209438</v>
      </c>
      <c r="F20" s="127">
        <f t="shared" si="3"/>
        <v>0</v>
      </c>
      <c r="G20" s="127">
        <f t="shared" si="0"/>
        <v>570760.66768209438</v>
      </c>
      <c r="H20" s="118"/>
      <c r="I20" s="118"/>
      <c r="J20" s="118"/>
      <c r="K20" s="108"/>
    </row>
    <row r="21" spans="1:11">
      <c r="A21" s="8">
        <v>5</v>
      </c>
      <c r="B21" s="127" t="s">
        <v>158</v>
      </c>
      <c r="C21" s="127">
        <f>D20</f>
        <v>10330482.352400001</v>
      </c>
      <c r="D21" s="127">
        <f>C21-F21</f>
        <v>9912101.68185018</v>
      </c>
      <c r="E21" s="127">
        <f>$E$60</f>
        <v>989141.33823191619</v>
      </c>
      <c r="F21" s="127">
        <f t="shared" si="3"/>
        <v>418380.67054982181</v>
      </c>
      <c r="G21" s="127">
        <f t="shared" si="0"/>
        <v>570760.66768209438</v>
      </c>
      <c r="H21" s="118"/>
      <c r="I21" s="118"/>
      <c r="J21" s="118"/>
      <c r="K21" s="108"/>
    </row>
    <row r="22" spans="1:11">
      <c r="A22" s="8">
        <v>6</v>
      </c>
      <c r="B22" s="127" t="s">
        <v>159</v>
      </c>
      <c r="C22" s="127">
        <f t="shared" ref="C22:C36" si="4">D21</f>
        <v>9912101.68185018</v>
      </c>
      <c r="D22" s="127">
        <f>C22-F22</f>
        <v>9470605.4177857134</v>
      </c>
      <c r="E22" s="127">
        <f t="shared" ref="E22:E36" si="5">$E$60</f>
        <v>989141.33823191619</v>
      </c>
      <c r="F22" s="127">
        <f t="shared" si="3"/>
        <v>441496.2640644674</v>
      </c>
      <c r="G22" s="127">
        <f t="shared" si="0"/>
        <v>547645.07416744879</v>
      </c>
      <c r="H22" s="118"/>
      <c r="I22" s="118"/>
      <c r="J22" s="118"/>
      <c r="K22" s="108"/>
    </row>
    <row r="23" spans="1:11">
      <c r="A23" s="8">
        <v>7</v>
      </c>
      <c r="B23" s="127" t="s">
        <v>160</v>
      </c>
      <c r="C23" s="127">
        <f t="shared" si="4"/>
        <v>9470605.4177857134</v>
      </c>
      <c r="D23" s="127">
        <f t="shared" ref="D23:D36" si="6">C23-F23</f>
        <v>9004716.420268869</v>
      </c>
      <c r="E23" s="127">
        <f t="shared" si="5"/>
        <v>989141.33823191619</v>
      </c>
      <c r="F23" s="127">
        <f t="shared" si="3"/>
        <v>465888.99751684512</v>
      </c>
      <c r="G23" s="127">
        <f t="shared" ref="G23:G36" si="7">C23*$E$52</f>
        <v>523252.34071507107</v>
      </c>
      <c r="H23" s="118"/>
      <c r="I23" s="118"/>
      <c r="J23" s="118"/>
      <c r="K23" s="108"/>
    </row>
    <row r="24" spans="1:11">
      <c r="A24" s="8">
        <v>8</v>
      </c>
      <c r="B24" s="127" t="s">
        <v>161</v>
      </c>
      <c r="C24" s="127">
        <f t="shared" si="4"/>
        <v>9004716.420268869</v>
      </c>
      <c r="D24" s="127">
        <f t="shared" si="6"/>
        <v>8513086.987192722</v>
      </c>
      <c r="E24" s="127">
        <f t="shared" si="5"/>
        <v>989141.33823191619</v>
      </c>
      <c r="F24" s="127">
        <f t="shared" si="3"/>
        <v>491629.43307614682</v>
      </c>
      <c r="G24" s="127">
        <f t="shared" si="7"/>
        <v>497511.90515576937</v>
      </c>
      <c r="H24" s="118"/>
      <c r="I24" s="118"/>
      <c r="J24" s="118"/>
      <c r="K24" s="108"/>
    </row>
    <row r="25" spans="1:11" ht="15" customHeight="1">
      <c r="A25" s="8">
        <v>9</v>
      </c>
      <c r="B25" s="127" t="s">
        <v>171</v>
      </c>
      <c r="C25" s="127">
        <f t="shared" si="4"/>
        <v>8513086.987192722</v>
      </c>
      <c r="D25" s="127">
        <f t="shared" si="6"/>
        <v>7994294.9557109429</v>
      </c>
      <c r="E25" s="127">
        <f t="shared" si="5"/>
        <v>989141.33823191619</v>
      </c>
      <c r="F25" s="127">
        <f t="shared" si="3"/>
        <v>518792.03148177895</v>
      </c>
      <c r="G25" s="127">
        <f t="shared" si="7"/>
        <v>470349.30675013724</v>
      </c>
      <c r="K25" s="108"/>
    </row>
    <row r="26" spans="1:11" ht="15" customHeight="1">
      <c r="A26" s="8">
        <v>10</v>
      </c>
      <c r="B26" s="127" t="s">
        <v>172</v>
      </c>
      <c r="C26" s="127">
        <f t="shared" si="4"/>
        <v>7994294.9557109429</v>
      </c>
      <c r="D26" s="127">
        <f t="shared" si="6"/>
        <v>7446839.5882710032</v>
      </c>
      <c r="E26" s="127">
        <f t="shared" si="5"/>
        <v>989141.33823191619</v>
      </c>
      <c r="F26" s="127">
        <f t="shared" si="3"/>
        <v>547455.36743993952</v>
      </c>
      <c r="G26" s="127">
        <f t="shared" si="7"/>
        <v>441685.97079197667</v>
      </c>
      <c r="K26" s="108"/>
    </row>
    <row r="27" spans="1:11" ht="15" customHeight="1">
      <c r="A27" s="8">
        <v>11</v>
      </c>
      <c r="B27" s="127" t="s">
        <v>173</v>
      </c>
      <c r="C27" s="127">
        <f t="shared" si="4"/>
        <v>7446839.5882710032</v>
      </c>
      <c r="D27" s="127">
        <f t="shared" si="6"/>
        <v>6869137.2313501155</v>
      </c>
      <c r="E27" s="127">
        <f t="shared" si="5"/>
        <v>989141.33823191619</v>
      </c>
      <c r="F27" s="127">
        <f t="shared" si="3"/>
        <v>577702.35692088795</v>
      </c>
      <c r="G27" s="127">
        <f t="shared" si="7"/>
        <v>411438.98131102818</v>
      </c>
      <c r="K27" s="108"/>
    </row>
    <row r="28" spans="1:11" ht="15" customHeight="1">
      <c r="A28" s="8">
        <v>12</v>
      </c>
      <c r="B28" s="127" t="s">
        <v>174</v>
      </c>
      <c r="C28" s="127">
        <f t="shared" si="4"/>
        <v>6869137.2313501155</v>
      </c>
      <c r="D28" s="127">
        <f t="shared" si="6"/>
        <v>6259516.7343356935</v>
      </c>
      <c r="E28" s="127">
        <f t="shared" si="5"/>
        <v>989141.33823191619</v>
      </c>
      <c r="F28" s="127">
        <f t="shared" si="3"/>
        <v>609620.4970144222</v>
      </c>
      <c r="G28" s="127">
        <f t="shared" si="7"/>
        <v>379520.84121749405</v>
      </c>
      <c r="K28" s="108"/>
    </row>
    <row r="29" spans="1:11" ht="15" customHeight="1">
      <c r="A29" s="8">
        <v>13</v>
      </c>
      <c r="B29" s="127" t="s">
        <v>175</v>
      </c>
      <c r="C29" s="127">
        <f t="shared" si="4"/>
        <v>6259516.7343356935</v>
      </c>
      <c r="D29" s="127">
        <f t="shared" si="6"/>
        <v>5616214.6152982879</v>
      </c>
      <c r="E29" s="127">
        <f t="shared" si="5"/>
        <v>989141.33823191619</v>
      </c>
      <c r="F29" s="127">
        <f t="shared" si="3"/>
        <v>643302.11903740605</v>
      </c>
      <c r="G29" s="127">
        <f t="shared" si="7"/>
        <v>345839.21919451019</v>
      </c>
      <c r="K29" s="108"/>
    </row>
    <row r="30" spans="1:11" ht="15" customHeight="1">
      <c r="A30" s="8">
        <v>14</v>
      </c>
      <c r="B30" s="127" t="s">
        <v>176</v>
      </c>
      <c r="C30" s="127">
        <f t="shared" si="4"/>
        <v>5616214.6152982879</v>
      </c>
      <c r="D30" s="127">
        <f t="shared" si="6"/>
        <v>4937369.959672763</v>
      </c>
      <c r="E30" s="127">
        <f t="shared" si="5"/>
        <v>989141.33823191619</v>
      </c>
      <c r="F30" s="127">
        <f t="shared" si="3"/>
        <v>678844.65562552516</v>
      </c>
      <c r="G30" s="127">
        <f t="shared" si="7"/>
        <v>310296.68260639108</v>
      </c>
      <c r="K30" s="108"/>
    </row>
    <row r="31" spans="1:11" ht="15" customHeight="1">
      <c r="A31" s="8">
        <v>15</v>
      </c>
      <c r="B31" s="127" t="s">
        <v>177</v>
      </c>
      <c r="C31" s="127">
        <f t="shared" si="4"/>
        <v>4937369.959672763</v>
      </c>
      <c r="D31" s="127">
        <f t="shared" si="6"/>
        <v>4221019.0370908622</v>
      </c>
      <c r="E31" s="127">
        <f t="shared" si="5"/>
        <v>989141.33823191619</v>
      </c>
      <c r="F31" s="127">
        <f t="shared" si="3"/>
        <v>716350.92258190108</v>
      </c>
      <c r="G31" s="127">
        <f t="shared" si="7"/>
        <v>272790.41565001506</v>
      </c>
      <c r="K31" s="108"/>
    </row>
    <row r="32" spans="1:11" ht="15" customHeight="1">
      <c r="A32" s="8">
        <v>16</v>
      </c>
      <c r="B32" s="127" t="s">
        <v>178</v>
      </c>
      <c r="C32" s="127">
        <f t="shared" si="4"/>
        <v>4221019.0370908622</v>
      </c>
      <c r="D32" s="127">
        <f t="shared" si="6"/>
        <v>3465089.6207929784</v>
      </c>
      <c r="E32" s="127">
        <f t="shared" si="5"/>
        <v>989141.33823191619</v>
      </c>
      <c r="F32" s="127">
        <f t="shared" si="3"/>
        <v>755929.41629788349</v>
      </c>
      <c r="G32" s="127">
        <f t="shared" si="7"/>
        <v>233211.92193403273</v>
      </c>
      <c r="K32" s="108"/>
    </row>
    <row r="33" spans="1:11" ht="15" customHeight="1">
      <c r="A33" s="8">
        <v>17</v>
      </c>
      <c r="B33" s="127" t="s">
        <v>179</v>
      </c>
      <c r="C33" s="127">
        <f t="shared" si="4"/>
        <v>3465089.6207929784</v>
      </c>
      <c r="D33" s="127">
        <f t="shared" si="6"/>
        <v>2667394.9931865949</v>
      </c>
      <c r="E33" s="127">
        <f t="shared" si="5"/>
        <v>989141.33823191619</v>
      </c>
      <c r="F33" s="127">
        <f t="shared" si="3"/>
        <v>797694.62760638352</v>
      </c>
      <c r="G33" s="127">
        <f t="shared" si="7"/>
        <v>191446.71062553272</v>
      </c>
      <c r="K33" s="108"/>
    </row>
    <row r="34" spans="1:11" ht="15" customHeight="1">
      <c r="A34" s="8">
        <v>18</v>
      </c>
      <c r="B34" s="127" t="s">
        <v>180</v>
      </c>
      <c r="C34" s="127">
        <f t="shared" si="4"/>
        <v>2667394.9931865949</v>
      </c>
      <c r="D34" s="127">
        <f t="shared" si="6"/>
        <v>1825627.6202109437</v>
      </c>
      <c r="E34" s="127">
        <f t="shared" si="5"/>
        <v>989141.33823191619</v>
      </c>
      <c r="F34" s="127">
        <f t="shared" si="3"/>
        <v>841767.37297565117</v>
      </c>
      <c r="G34" s="127">
        <f t="shared" si="7"/>
        <v>147373.96525626502</v>
      </c>
      <c r="K34" s="108"/>
    </row>
    <row r="35" spans="1:11" ht="15" customHeight="1">
      <c r="A35" s="8">
        <v>19</v>
      </c>
      <c r="B35" s="127" t="s">
        <v>181</v>
      </c>
      <c r="C35" s="127">
        <f t="shared" si="4"/>
        <v>1825627.6202109437</v>
      </c>
      <c r="D35" s="127">
        <f t="shared" si="6"/>
        <v>937352.47620938625</v>
      </c>
      <c r="E35" s="127">
        <f t="shared" si="5"/>
        <v>989141.33823191619</v>
      </c>
      <c r="F35" s="127">
        <f t="shared" si="3"/>
        <v>888275.14400155749</v>
      </c>
      <c r="G35" s="127">
        <f t="shared" si="7"/>
        <v>100866.1942303587</v>
      </c>
      <c r="K35" s="108"/>
    </row>
    <row r="36" spans="1:11" ht="15" customHeight="1">
      <c r="A36" s="8">
        <v>20</v>
      </c>
      <c r="B36" s="127" t="s">
        <v>182</v>
      </c>
      <c r="C36" s="127">
        <f t="shared" si="4"/>
        <v>937352.47620938625</v>
      </c>
      <c r="D36" s="127">
        <f t="shared" si="6"/>
        <v>1.0593794286251068E-8</v>
      </c>
      <c r="E36" s="127">
        <f t="shared" si="5"/>
        <v>989141.33823191619</v>
      </c>
      <c r="F36" s="127">
        <f t="shared" si="3"/>
        <v>937352.47620937566</v>
      </c>
      <c r="G36" s="127">
        <f t="shared" si="7"/>
        <v>51788.862022540554</v>
      </c>
      <c r="K36" s="108"/>
    </row>
    <row r="37" spans="1:11" s="113" customFormat="1" ht="15.95" customHeight="1">
      <c r="A37" s="8" t="s">
        <v>162</v>
      </c>
      <c r="B37" s="130"/>
      <c r="C37" s="131"/>
      <c r="D37" s="131"/>
      <c r="E37" s="131">
        <f>SUM(E17:E36)</f>
        <v>18109304.082439035</v>
      </c>
      <c r="F37" s="131">
        <f>SUM(F17:F36)</f>
        <v>10330482.352399994</v>
      </c>
      <c r="G37" s="131">
        <f>SUM(G17:G36)</f>
        <v>7778821.7300390434</v>
      </c>
      <c r="H37" s="2"/>
      <c r="I37" s="2"/>
      <c r="J37" s="2"/>
    </row>
    <row r="38" spans="1:11" s="113" customFormat="1" ht="15.95" customHeight="1">
      <c r="A38" s="122"/>
      <c r="B38" s="119"/>
      <c r="C38" s="120"/>
      <c r="D38" s="120"/>
      <c r="E38" s="120"/>
      <c r="F38" s="120"/>
      <c r="G38" s="120"/>
      <c r="H38" s="120"/>
      <c r="I38" s="2"/>
      <c r="J38" s="2"/>
      <c r="K38" s="2"/>
    </row>
    <row r="39" spans="1:11" ht="15.95" customHeight="1" thickBot="1">
      <c r="A39" s="115"/>
      <c r="B39" s="118"/>
      <c r="C39" s="118"/>
      <c r="D39" s="118"/>
      <c r="E39" s="118"/>
      <c r="F39" s="118"/>
      <c r="G39" s="118"/>
      <c r="H39" s="118"/>
    </row>
    <row r="40" spans="1:11" ht="15.95" customHeight="1" thickBot="1">
      <c r="A40" s="289" t="s">
        <v>163</v>
      </c>
      <c r="B40" s="290"/>
      <c r="C40" s="290"/>
      <c r="D40" s="290"/>
      <c r="E40" s="291"/>
      <c r="F40" s="134"/>
      <c r="G40" s="118"/>
      <c r="H40" s="118"/>
      <c r="I40" s="118"/>
      <c r="J40" s="118"/>
      <c r="K40" s="118"/>
    </row>
    <row r="41" spans="1:11" ht="31.5">
      <c r="A41" s="32" t="s">
        <v>164</v>
      </c>
      <c r="B41" s="123"/>
      <c r="C41" s="28" t="s">
        <v>152</v>
      </c>
      <c r="D41" s="28" t="s">
        <v>153</v>
      </c>
      <c r="E41" s="28" t="s">
        <v>165</v>
      </c>
      <c r="F41" s="118"/>
      <c r="G41" s="118"/>
      <c r="H41" s="118"/>
      <c r="I41" s="118"/>
      <c r="J41" s="118"/>
      <c r="K41" s="108"/>
    </row>
    <row r="42" spans="1:11">
      <c r="A42" s="66">
        <v>1</v>
      </c>
      <c r="B42" s="127" t="s">
        <v>166</v>
      </c>
      <c r="C42" s="127">
        <f>SUM(F17:F20)</f>
        <v>0</v>
      </c>
      <c r="D42" s="127">
        <f>SUM(G17:G20)</f>
        <v>2283042.6707283775</v>
      </c>
      <c r="E42" s="127">
        <f>D42+C42</f>
        <v>2283042.6707283775</v>
      </c>
      <c r="F42" s="3">
        <f>D42/1164</f>
        <v>1961.3768648869222</v>
      </c>
      <c r="K42" s="108"/>
    </row>
    <row r="43" spans="1:11" ht="15" customHeight="1">
      <c r="A43" s="66">
        <v>2</v>
      </c>
      <c r="B43" s="127" t="s">
        <v>167</v>
      </c>
      <c r="C43" s="127">
        <f>SUM(F21:F24)</f>
        <v>1817395.3652072812</v>
      </c>
      <c r="D43" s="127">
        <f>SUM(G21:G24)</f>
        <v>2139169.9877203838</v>
      </c>
      <c r="E43" s="127">
        <f t="shared" ref="E43:E47" si="8">D43+C43</f>
        <v>3956565.3529276652</v>
      </c>
      <c r="K43" s="108"/>
    </row>
    <row r="44" spans="1:11" ht="15" customHeight="1">
      <c r="A44" s="66">
        <v>3</v>
      </c>
      <c r="B44" s="127" t="s">
        <v>193</v>
      </c>
      <c r="C44" s="127">
        <f>SUM(F25:F28)</f>
        <v>2253570.2528570285</v>
      </c>
      <c r="D44" s="127">
        <f t="shared" ref="D44" si="9">SUM(G25:G28)</f>
        <v>1702995.1000706363</v>
      </c>
      <c r="E44" s="127">
        <f t="shared" si="8"/>
        <v>3956565.3529276648</v>
      </c>
      <c r="K44" s="108"/>
    </row>
    <row r="45" spans="1:11" ht="15" customHeight="1">
      <c r="A45" s="66">
        <v>4</v>
      </c>
      <c r="B45" s="127" t="s">
        <v>194</v>
      </c>
      <c r="C45" s="127">
        <f>SUM(F29:F32)</f>
        <v>2794427.113542716</v>
      </c>
      <c r="D45" s="127">
        <f>SUM(G29:G32)</f>
        <v>1162138.2393849492</v>
      </c>
      <c r="E45" s="127">
        <f t="shared" si="8"/>
        <v>3956565.3529276652</v>
      </c>
      <c r="K45" s="108"/>
    </row>
    <row r="46" spans="1:11" ht="15" customHeight="1">
      <c r="A46" s="66">
        <v>5</v>
      </c>
      <c r="B46" s="127" t="s">
        <v>195</v>
      </c>
      <c r="C46" s="127">
        <f>SUM(F33:F36)</f>
        <v>3465089.6207929677</v>
      </c>
      <c r="D46" s="127">
        <f>SUM(G33:G36)</f>
        <v>491475.73213469697</v>
      </c>
      <c r="E46" s="127">
        <f t="shared" si="8"/>
        <v>3956565.3529276648</v>
      </c>
      <c r="K46" s="108"/>
    </row>
    <row r="47" spans="1:11" s="113" customFormat="1" ht="15" customHeight="1">
      <c r="A47" s="66" t="s">
        <v>162</v>
      </c>
      <c r="B47" s="8"/>
      <c r="C47" s="131">
        <f>SUM(C42:C46)</f>
        <v>10330482.352399994</v>
      </c>
      <c r="D47" s="131">
        <f>SUM(D42:D46)</f>
        <v>7778821.7300390443</v>
      </c>
      <c r="E47" s="131">
        <f t="shared" si="8"/>
        <v>18109304.082439039</v>
      </c>
      <c r="F47" s="2"/>
      <c r="G47" s="2"/>
      <c r="H47" s="2"/>
      <c r="I47" s="2"/>
      <c r="J47" s="2"/>
    </row>
    <row r="48" spans="1:11" s="113" customFormat="1">
      <c r="A48" s="114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6">
      <c r="A49" s="121"/>
      <c r="B49" s="60" t="s">
        <v>95</v>
      </c>
    </row>
    <row r="50" spans="1:6">
      <c r="A50" s="121"/>
      <c r="B50" s="57" t="s">
        <v>188</v>
      </c>
      <c r="D50" s="108"/>
      <c r="E50" s="118">
        <f>'C3'!S26</f>
        <v>10330482.352399999</v>
      </c>
    </row>
    <row r="51" spans="1:6">
      <c r="B51" s="3" t="s">
        <v>183</v>
      </c>
      <c r="E51" s="4">
        <v>0.24</v>
      </c>
    </row>
    <row r="52" spans="1:6">
      <c r="B52" s="108" t="s">
        <v>184</v>
      </c>
      <c r="C52" s="108"/>
      <c r="E52" s="4">
        <f>POWER((1+E51),1/4)-1</f>
        <v>5.5250146915888587E-2</v>
      </c>
    </row>
    <row r="53" spans="1:6">
      <c r="B53" s="108" t="s">
        <v>170</v>
      </c>
      <c r="C53" s="108"/>
      <c r="E53" s="4">
        <v>0.03</v>
      </c>
    </row>
    <row r="54" spans="1:6">
      <c r="B54" s="3" t="s">
        <v>138</v>
      </c>
      <c r="E54" s="4">
        <v>0.03</v>
      </c>
    </row>
    <row r="55" spans="1:6">
      <c r="B55" s="3" t="s">
        <v>186</v>
      </c>
      <c r="E55" s="4">
        <v>0.55000000000000004</v>
      </c>
    </row>
    <row r="56" spans="1:6">
      <c r="B56" s="3" t="s">
        <v>187</v>
      </c>
      <c r="E56" s="4">
        <v>0.45</v>
      </c>
    </row>
    <row r="57" spans="1:6">
      <c r="B57" s="3" t="s">
        <v>189</v>
      </c>
      <c r="E57" s="3">
        <v>20</v>
      </c>
    </row>
    <row r="58" spans="1:6">
      <c r="B58" s="3" t="s">
        <v>190</v>
      </c>
      <c r="E58" s="3">
        <v>4</v>
      </c>
    </row>
    <row r="59" spans="1:6">
      <c r="B59" s="3" t="s">
        <v>191</v>
      </c>
      <c r="E59" s="3">
        <v>16</v>
      </c>
    </row>
    <row r="60" spans="1:6">
      <c r="B60" s="3" t="s">
        <v>192</v>
      </c>
      <c r="E60" s="135">
        <f>-PMT(E52,E59,E50)</f>
        <v>989141.33823191619</v>
      </c>
    </row>
    <row r="61" spans="1:6">
      <c r="B61" s="3" t="s">
        <v>250</v>
      </c>
      <c r="F61" s="118">
        <f>D47</f>
        <v>7778821.7300390443</v>
      </c>
    </row>
  </sheetData>
  <mergeCells count="10">
    <mergeCell ref="A40:E40"/>
    <mergeCell ref="A14:G14"/>
    <mergeCell ref="F12:G12"/>
    <mergeCell ref="A3:H3"/>
    <mergeCell ref="A6:H6"/>
    <mergeCell ref="B7:C7"/>
    <mergeCell ref="D7:E7"/>
    <mergeCell ref="F7:H7"/>
    <mergeCell ref="C15:D15"/>
    <mergeCell ref="E15:G15"/>
  </mergeCells>
  <printOptions horizontalCentered="1" verticalCentered="1"/>
  <pageMargins left="0.39370078740157483" right="0.39370078740157483" top="0.78740157480314965" bottom="0.59055118110236227" header="0" footer="0"/>
  <pageSetup scale="7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workbookViewId="0">
      <selection activeCell="J33" sqref="J33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6" style="3" customWidth="1"/>
    <col min="4" max="4" width="9.85546875" style="95" bestFit="1" customWidth="1"/>
    <col min="5" max="5" width="17.5703125" style="3" customWidth="1"/>
    <col min="6" max="6" width="17.5703125" style="3" bestFit="1" customWidth="1"/>
    <col min="7" max="7" width="20.5703125" style="3" customWidth="1"/>
    <col min="8" max="8" width="13.28515625" style="3" customWidth="1"/>
    <col min="9" max="9" width="13.7109375" style="3" customWidth="1"/>
    <col min="10" max="10" width="13" style="95" bestFit="1" customWidth="1"/>
    <col min="11" max="11" width="10.7109375" style="108" bestFit="1" customWidth="1"/>
    <col min="12" max="12" width="22.140625" style="108" bestFit="1" customWidth="1"/>
    <col min="13" max="14" width="11.42578125" style="108"/>
    <col min="15" max="15" width="9.42578125" style="108" bestFit="1" customWidth="1"/>
    <col min="16" max="255" width="11.42578125" style="108"/>
    <col min="256" max="256" width="7.85546875" style="108" customWidth="1"/>
    <col min="257" max="257" width="24.5703125" style="108" customWidth="1"/>
    <col min="258" max="258" width="3.7109375" style="108" customWidth="1"/>
    <col min="259" max="259" width="4.85546875" style="108" customWidth="1"/>
    <col min="260" max="260" width="0.85546875" style="108" customWidth="1"/>
    <col min="261" max="261" width="9" style="108" customWidth="1"/>
    <col min="262" max="262" width="10" style="108" customWidth="1"/>
    <col min="263" max="263" width="0.85546875" style="108" customWidth="1"/>
    <col min="264" max="264" width="12.42578125" style="108" customWidth="1"/>
    <col min="265" max="265" width="0.85546875" style="108" customWidth="1"/>
    <col min="266" max="266" width="13.7109375" style="108" customWidth="1"/>
    <col min="267" max="511" width="11.42578125" style="108"/>
    <col min="512" max="512" width="7.85546875" style="108" customWidth="1"/>
    <col min="513" max="513" width="24.5703125" style="108" customWidth="1"/>
    <col min="514" max="514" width="3.7109375" style="108" customWidth="1"/>
    <col min="515" max="515" width="4.85546875" style="108" customWidth="1"/>
    <col min="516" max="516" width="0.85546875" style="108" customWidth="1"/>
    <col min="517" max="517" width="9" style="108" customWidth="1"/>
    <col min="518" max="518" width="10" style="108" customWidth="1"/>
    <col min="519" max="519" width="0.85546875" style="108" customWidth="1"/>
    <col min="520" max="520" width="12.42578125" style="108" customWidth="1"/>
    <col min="521" max="521" width="0.85546875" style="108" customWidth="1"/>
    <col min="522" max="522" width="13.7109375" style="108" customWidth="1"/>
    <col min="523" max="767" width="11.42578125" style="108"/>
    <col min="768" max="768" width="7.85546875" style="108" customWidth="1"/>
    <col min="769" max="769" width="24.5703125" style="108" customWidth="1"/>
    <col min="770" max="770" width="3.7109375" style="108" customWidth="1"/>
    <col min="771" max="771" width="4.85546875" style="108" customWidth="1"/>
    <col min="772" max="772" width="0.85546875" style="108" customWidth="1"/>
    <col min="773" max="773" width="9" style="108" customWidth="1"/>
    <col min="774" max="774" width="10" style="108" customWidth="1"/>
    <col min="775" max="775" width="0.85546875" style="108" customWidth="1"/>
    <col min="776" max="776" width="12.42578125" style="108" customWidth="1"/>
    <col min="777" max="777" width="0.85546875" style="108" customWidth="1"/>
    <col min="778" max="778" width="13.7109375" style="108" customWidth="1"/>
    <col min="779" max="1023" width="11.42578125" style="108"/>
    <col min="1024" max="1024" width="7.85546875" style="108" customWidth="1"/>
    <col min="1025" max="1025" width="24.5703125" style="108" customWidth="1"/>
    <col min="1026" max="1026" width="3.7109375" style="108" customWidth="1"/>
    <col min="1027" max="1027" width="4.85546875" style="108" customWidth="1"/>
    <col min="1028" max="1028" width="0.85546875" style="108" customWidth="1"/>
    <col min="1029" max="1029" width="9" style="108" customWidth="1"/>
    <col min="1030" max="1030" width="10" style="108" customWidth="1"/>
    <col min="1031" max="1031" width="0.85546875" style="108" customWidth="1"/>
    <col min="1032" max="1032" width="12.42578125" style="108" customWidth="1"/>
    <col min="1033" max="1033" width="0.85546875" style="108" customWidth="1"/>
    <col min="1034" max="1034" width="13.7109375" style="108" customWidth="1"/>
    <col min="1035" max="1279" width="11.42578125" style="108"/>
    <col min="1280" max="1280" width="7.85546875" style="108" customWidth="1"/>
    <col min="1281" max="1281" width="24.5703125" style="108" customWidth="1"/>
    <col min="1282" max="1282" width="3.7109375" style="108" customWidth="1"/>
    <col min="1283" max="1283" width="4.85546875" style="108" customWidth="1"/>
    <col min="1284" max="1284" width="0.85546875" style="108" customWidth="1"/>
    <col min="1285" max="1285" width="9" style="108" customWidth="1"/>
    <col min="1286" max="1286" width="10" style="108" customWidth="1"/>
    <col min="1287" max="1287" width="0.85546875" style="108" customWidth="1"/>
    <col min="1288" max="1288" width="12.42578125" style="108" customWidth="1"/>
    <col min="1289" max="1289" width="0.85546875" style="108" customWidth="1"/>
    <col min="1290" max="1290" width="13.7109375" style="108" customWidth="1"/>
    <col min="1291" max="1535" width="11.42578125" style="108"/>
    <col min="1536" max="1536" width="7.85546875" style="108" customWidth="1"/>
    <col min="1537" max="1537" width="24.5703125" style="108" customWidth="1"/>
    <col min="1538" max="1538" width="3.7109375" style="108" customWidth="1"/>
    <col min="1539" max="1539" width="4.85546875" style="108" customWidth="1"/>
    <col min="1540" max="1540" width="0.85546875" style="108" customWidth="1"/>
    <col min="1541" max="1541" width="9" style="108" customWidth="1"/>
    <col min="1542" max="1542" width="10" style="108" customWidth="1"/>
    <col min="1543" max="1543" width="0.85546875" style="108" customWidth="1"/>
    <col min="1544" max="1544" width="12.42578125" style="108" customWidth="1"/>
    <col min="1545" max="1545" width="0.85546875" style="108" customWidth="1"/>
    <col min="1546" max="1546" width="13.7109375" style="108" customWidth="1"/>
    <col min="1547" max="1791" width="11.42578125" style="108"/>
    <col min="1792" max="1792" width="7.85546875" style="108" customWidth="1"/>
    <col min="1793" max="1793" width="24.5703125" style="108" customWidth="1"/>
    <col min="1794" max="1794" width="3.7109375" style="108" customWidth="1"/>
    <col min="1795" max="1795" width="4.85546875" style="108" customWidth="1"/>
    <col min="1796" max="1796" width="0.85546875" style="108" customWidth="1"/>
    <col min="1797" max="1797" width="9" style="108" customWidth="1"/>
    <col min="1798" max="1798" width="10" style="108" customWidth="1"/>
    <col min="1799" max="1799" width="0.85546875" style="108" customWidth="1"/>
    <col min="1800" max="1800" width="12.42578125" style="108" customWidth="1"/>
    <col min="1801" max="1801" width="0.85546875" style="108" customWidth="1"/>
    <col min="1802" max="1802" width="13.7109375" style="108" customWidth="1"/>
    <col min="1803" max="2047" width="11.42578125" style="108"/>
    <col min="2048" max="2048" width="7.85546875" style="108" customWidth="1"/>
    <col min="2049" max="2049" width="24.5703125" style="108" customWidth="1"/>
    <col min="2050" max="2050" width="3.7109375" style="108" customWidth="1"/>
    <col min="2051" max="2051" width="4.85546875" style="108" customWidth="1"/>
    <col min="2052" max="2052" width="0.85546875" style="108" customWidth="1"/>
    <col min="2053" max="2053" width="9" style="108" customWidth="1"/>
    <col min="2054" max="2054" width="10" style="108" customWidth="1"/>
    <col min="2055" max="2055" width="0.85546875" style="108" customWidth="1"/>
    <col min="2056" max="2056" width="12.42578125" style="108" customWidth="1"/>
    <col min="2057" max="2057" width="0.85546875" style="108" customWidth="1"/>
    <col min="2058" max="2058" width="13.7109375" style="108" customWidth="1"/>
    <col min="2059" max="2303" width="11.42578125" style="108"/>
    <col min="2304" max="2304" width="7.85546875" style="108" customWidth="1"/>
    <col min="2305" max="2305" width="24.5703125" style="108" customWidth="1"/>
    <col min="2306" max="2306" width="3.7109375" style="108" customWidth="1"/>
    <col min="2307" max="2307" width="4.85546875" style="108" customWidth="1"/>
    <col min="2308" max="2308" width="0.85546875" style="108" customWidth="1"/>
    <col min="2309" max="2309" width="9" style="108" customWidth="1"/>
    <col min="2310" max="2310" width="10" style="108" customWidth="1"/>
    <col min="2311" max="2311" width="0.85546875" style="108" customWidth="1"/>
    <col min="2312" max="2312" width="12.42578125" style="108" customWidth="1"/>
    <col min="2313" max="2313" width="0.85546875" style="108" customWidth="1"/>
    <col min="2314" max="2314" width="13.7109375" style="108" customWidth="1"/>
    <col min="2315" max="2559" width="11.42578125" style="108"/>
    <col min="2560" max="2560" width="7.85546875" style="108" customWidth="1"/>
    <col min="2561" max="2561" width="24.5703125" style="108" customWidth="1"/>
    <col min="2562" max="2562" width="3.7109375" style="108" customWidth="1"/>
    <col min="2563" max="2563" width="4.85546875" style="108" customWidth="1"/>
    <col min="2564" max="2564" width="0.85546875" style="108" customWidth="1"/>
    <col min="2565" max="2565" width="9" style="108" customWidth="1"/>
    <col min="2566" max="2566" width="10" style="108" customWidth="1"/>
    <col min="2567" max="2567" width="0.85546875" style="108" customWidth="1"/>
    <col min="2568" max="2568" width="12.42578125" style="108" customWidth="1"/>
    <col min="2569" max="2569" width="0.85546875" style="108" customWidth="1"/>
    <col min="2570" max="2570" width="13.7109375" style="108" customWidth="1"/>
    <col min="2571" max="2815" width="11.42578125" style="108"/>
    <col min="2816" max="2816" width="7.85546875" style="108" customWidth="1"/>
    <col min="2817" max="2817" width="24.5703125" style="108" customWidth="1"/>
    <col min="2818" max="2818" width="3.7109375" style="108" customWidth="1"/>
    <col min="2819" max="2819" width="4.85546875" style="108" customWidth="1"/>
    <col min="2820" max="2820" width="0.85546875" style="108" customWidth="1"/>
    <col min="2821" max="2821" width="9" style="108" customWidth="1"/>
    <col min="2822" max="2822" width="10" style="108" customWidth="1"/>
    <col min="2823" max="2823" width="0.85546875" style="108" customWidth="1"/>
    <col min="2824" max="2824" width="12.42578125" style="108" customWidth="1"/>
    <col min="2825" max="2825" width="0.85546875" style="108" customWidth="1"/>
    <col min="2826" max="2826" width="13.7109375" style="108" customWidth="1"/>
    <col min="2827" max="3071" width="11.42578125" style="108"/>
    <col min="3072" max="3072" width="7.85546875" style="108" customWidth="1"/>
    <col min="3073" max="3073" width="24.5703125" style="108" customWidth="1"/>
    <col min="3074" max="3074" width="3.7109375" style="108" customWidth="1"/>
    <col min="3075" max="3075" width="4.85546875" style="108" customWidth="1"/>
    <col min="3076" max="3076" width="0.85546875" style="108" customWidth="1"/>
    <col min="3077" max="3077" width="9" style="108" customWidth="1"/>
    <col min="3078" max="3078" width="10" style="108" customWidth="1"/>
    <col min="3079" max="3079" width="0.85546875" style="108" customWidth="1"/>
    <col min="3080" max="3080" width="12.42578125" style="108" customWidth="1"/>
    <col min="3081" max="3081" width="0.85546875" style="108" customWidth="1"/>
    <col min="3082" max="3082" width="13.7109375" style="108" customWidth="1"/>
    <col min="3083" max="3327" width="11.42578125" style="108"/>
    <col min="3328" max="3328" width="7.85546875" style="108" customWidth="1"/>
    <col min="3329" max="3329" width="24.5703125" style="108" customWidth="1"/>
    <col min="3330" max="3330" width="3.7109375" style="108" customWidth="1"/>
    <col min="3331" max="3331" width="4.85546875" style="108" customWidth="1"/>
    <col min="3332" max="3332" width="0.85546875" style="108" customWidth="1"/>
    <col min="3333" max="3333" width="9" style="108" customWidth="1"/>
    <col min="3334" max="3334" width="10" style="108" customWidth="1"/>
    <col min="3335" max="3335" width="0.85546875" style="108" customWidth="1"/>
    <col min="3336" max="3336" width="12.42578125" style="108" customWidth="1"/>
    <col min="3337" max="3337" width="0.85546875" style="108" customWidth="1"/>
    <col min="3338" max="3338" width="13.7109375" style="108" customWidth="1"/>
    <col min="3339" max="3583" width="11.42578125" style="108"/>
    <col min="3584" max="3584" width="7.85546875" style="108" customWidth="1"/>
    <col min="3585" max="3585" width="24.5703125" style="108" customWidth="1"/>
    <col min="3586" max="3586" width="3.7109375" style="108" customWidth="1"/>
    <col min="3587" max="3587" width="4.85546875" style="108" customWidth="1"/>
    <col min="3588" max="3588" width="0.85546875" style="108" customWidth="1"/>
    <col min="3589" max="3589" width="9" style="108" customWidth="1"/>
    <col min="3590" max="3590" width="10" style="108" customWidth="1"/>
    <col min="3591" max="3591" width="0.85546875" style="108" customWidth="1"/>
    <col min="3592" max="3592" width="12.42578125" style="108" customWidth="1"/>
    <col min="3593" max="3593" width="0.85546875" style="108" customWidth="1"/>
    <col min="3594" max="3594" width="13.7109375" style="108" customWidth="1"/>
    <col min="3595" max="3839" width="11.42578125" style="108"/>
    <col min="3840" max="3840" width="7.85546875" style="108" customWidth="1"/>
    <col min="3841" max="3841" width="24.5703125" style="108" customWidth="1"/>
    <col min="3842" max="3842" width="3.7109375" style="108" customWidth="1"/>
    <col min="3843" max="3843" width="4.85546875" style="108" customWidth="1"/>
    <col min="3844" max="3844" width="0.85546875" style="108" customWidth="1"/>
    <col min="3845" max="3845" width="9" style="108" customWidth="1"/>
    <col min="3846" max="3846" width="10" style="108" customWidth="1"/>
    <col min="3847" max="3847" width="0.85546875" style="108" customWidth="1"/>
    <col min="3848" max="3848" width="12.42578125" style="108" customWidth="1"/>
    <col min="3849" max="3849" width="0.85546875" style="108" customWidth="1"/>
    <col min="3850" max="3850" width="13.7109375" style="108" customWidth="1"/>
    <col min="3851" max="4095" width="11.42578125" style="108"/>
    <col min="4096" max="4096" width="7.85546875" style="108" customWidth="1"/>
    <col min="4097" max="4097" width="24.5703125" style="108" customWidth="1"/>
    <col min="4098" max="4098" width="3.7109375" style="108" customWidth="1"/>
    <col min="4099" max="4099" width="4.85546875" style="108" customWidth="1"/>
    <col min="4100" max="4100" width="0.85546875" style="108" customWidth="1"/>
    <col min="4101" max="4101" width="9" style="108" customWidth="1"/>
    <col min="4102" max="4102" width="10" style="108" customWidth="1"/>
    <col min="4103" max="4103" width="0.85546875" style="108" customWidth="1"/>
    <col min="4104" max="4104" width="12.42578125" style="108" customWidth="1"/>
    <col min="4105" max="4105" width="0.85546875" style="108" customWidth="1"/>
    <col min="4106" max="4106" width="13.7109375" style="108" customWidth="1"/>
    <col min="4107" max="4351" width="11.42578125" style="108"/>
    <col min="4352" max="4352" width="7.85546875" style="108" customWidth="1"/>
    <col min="4353" max="4353" width="24.5703125" style="108" customWidth="1"/>
    <col min="4354" max="4354" width="3.7109375" style="108" customWidth="1"/>
    <col min="4355" max="4355" width="4.85546875" style="108" customWidth="1"/>
    <col min="4356" max="4356" width="0.85546875" style="108" customWidth="1"/>
    <col min="4357" max="4357" width="9" style="108" customWidth="1"/>
    <col min="4358" max="4358" width="10" style="108" customWidth="1"/>
    <col min="4359" max="4359" width="0.85546875" style="108" customWidth="1"/>
    <col min="4360" max="4360" width="12.42578125" style="108" customWidth="1"/>
    <col min="4361" max="4361" width="0.85546875" style="108" customWidth="1"/>
    <col min="4362" max="4362" width="13.7109375" style="108" customWidth="1"/>
    <col min="4363" max="4607" width="11.42578125" style="108"/>
    <col min="4608" max="4608" width="7.85546875" style="108" customWidth="1"/>
    <col min="4609" max="4609" width="24.5703125" style="108" customWidth="1"/>
    <col min="4610" max="4610" width="3.7109375" style="108" customWidth="1"/>
    <col min="4611" max="4611" width="4.85546875" style="108" customWidth="1"/>
    <col min="4612" max="4612" width="0.85546875" style="108" customWidth="1"/>
    <col min="4613" max="4613" width="9" style="108" customWidth="1"/>
    <col min="4614" max="4614" width="10" style="108" customWidth="1"/>
    <col min="4615" max="4615" width="0.85546875" style="108" customWidth="1"/>
    <col min="4616" max="4616" width="12.42578125" style="108" customWidth="1"/>
    <col min="4617" max="4617" width="0.85546875" style="108" customWidth="1"/>
    <col min="4618" max="4618" width="13.7109375" style="108" customWidth="1"/>
    <col min="4619" max="4863" width="11.42578125" style="108"/>
    <col min="4864" max="4864" width="7.85546875" style="108" customWidth="1"/>
    <col min="4865" max="4865" width="24.5703125" style="108" customWidth="1"/>
    <col min="4866" max="4866" width="3.7109375" style="108" customWidth="1"/>
    <col min="4867" max="4867" width="4.85546875" style="108" customWidth="1"/>
    <col min="4868" max="4868" width="0.85546875" style="108" customWidth="1"/>
    <col min="4869" max="4869" width="9" style="108" customWidth="1"/>
    <col min="4870" max="4870" width="10" style="108" customWidth="1"/>
    <col min="4871" max="4871" width="0.85546875" style="108" customWidth="1"/>
    <col min="4872" max="4872" width="12.42578125" style="108" customWidth="1"/>
    <col min="4873" max="4873" width="0.85546875" style="108" customWidth="1"/>
    <col min="4874" max="4874" width="13.7109375" style="108" customWidth="1"/>
    <col min="4875" max="5119" width="11.42578125" style="108"/>
    <col min="5120" max="5120" width="7.85546875" style="108" customWidth="1"/>
    <col min="5121" max="5121" width="24.5703125" style="108" customWidth="1"/>
    <col min="5122" max="5122" width="3.7109375" style="108" customWidth="1"/>
    <col min="5123" max="5123" width="4.85546875" style="108" customWidth="1"/>
    <col min="5124" max="5124" width="0.85546875" style="108" customWidth="1"/>
    <col min="5125" max="5125" width="9" style="108" customWidth="1"/>
    <col min="5126" max="5126" width="10" style="108" customWidth="1"/>
    <col min="5127" max="5127" width="0.85546875" style="108" customWidth="1"/>
    <col min="5128" max="5128" width="12.42578125" style="108" customWidth="1"/>
    <col min="5129" max="5129" width="0.85546875" style="108" customWidth="1"/>
    <col min="5130" max="5130" width="13.7109375" style="108" customWidth="1"/>
    <col min="5131" max="5375" width="11.42578125" style="108"/>
    <col min="5376" max="5376" width="7.85546875" style="108" customWidth="1"/>
    <col min="5377" max="5377" width="24.5703125" style="108" customWidth="1"/>
    <col min="5378" max="5378" width="3.7109375" style="108" customWidth="1"/>
    <col min="5379" max="5379" width="4.85546875" style="108" customWidth="1"/>
    <col min="5380" max="5380" width="0.85546875" style="108" customWidth="1"/>
    <col min="5381" max="5381" width="9" style="108" customWidth="1"/>
    <col min="5382" max="5382" width="10" style="108" customWidth="1"/>
    <col min="5383" max="5383" width="0.85546875" style="108" customWidth="1"/>
    <col min="5384" max="5384" width="12.42578125" style="108" customWidth="1"/>
    <col min="5385" max="5385" width="0.85546875" style="108" customWidth="1"/>
    <col min="5386" max="5386" width="13.7109375" style="108" customWidth="1"/>
    <col min="5387" max="5631" width="11.42578125" style="108"/>
    <col min="5632" max="5632" width="7.85546875" style="108" customWidth="1"/>
    <col min="5633" max="5633" width="24.5703125" style="108" customWidth="1"/>
    <col min="5634" max="5634" width="3.7109375" style="108" customWidth="1"/>
    <col min="5635" max="5635" width="4.85546875" style="108" customWidth="1"/>
    <col min="5636" max="5636" width="0.85546875" style="108" customWidth="1"/>
    <col min="5637" max="5637" width="9" style="108" customWidth="1"/>
    <col min="5638" max="5638" width="10" style="108" customWidth="1"/>
    <col min="5639" max="5639" width="0.85546875" style="108" customWidth="1"/>
    <col min="5640" max="5640" width="12.42578125" style="108" customWidth="1"/>
    <col min="5641" max="5641" width="0.85546875" style="108" customWidth="1"/>
    <col min="5642" max="5642" width="13.7109375" style="108" customWidth="1"/>
    <col min="5643" max="5887" width="11.42578125" style="108"/>
    <col min="5888" max="5888" width="7.85546875" style="108" customWidth="1"/>
    <col min="5889" max="5889" width="24.5703125" style="108" customWidth="1"/>
    <col min="5890" max="5890" width="3.7109375" style="108" customWidth="1"/>
    <col min="5891" max="5891" width="4.85546875" style="108" customWidth="1"/>
    <col min="5892" max="5892" width="0.85546875" style="108" customWidth="1"/>
    <col min="5893" max="5893" width="9" style="108" customWidth="1"/>
    <col min="5894" max="5894" width="10" style="108" customWidth="1"/>
    <col min="5895" max="5895" width="0.85546875" style="108" customWidth="1"/>
    <col min="5896" max="5896" width="12.42578125" style="108" customWidth="1"/>
    <col min="5897" max="5897" width="0.85546875" style="108" customWidth="1"/>
    <col min="5898" max="5898" width="13.7109375" style="108" customWidth="1"/>
    <col min="5899" max="6143" width="11.42578125" style="108"/>
    <col min="6144" max="6144" width="7.85546875" style="108" customWidth="1"/>
    <col min="6145" max="6145" width="24.5703125" style="108" customWidth="1"/>
    <col min="6146" max="6146" width="3.7109375" style="108" customWidth="1"/>
    <col min="6147" max="6147" width="4.85546875" style="108" customWidth="1"/>
    <col min="6148" max="6148" width="0.85546875" style="108" customWidth="1"/>
    <col min="6149" max="6149" width="9" style="108" customWidth="1"/>
    <col min="6150" max="6150" width="10" style="108" customWidth="1"/>
    <col min="6151" max="6151" width="0.85546875" style="108" customWidth="1"/>
    <col min="6152" max="6152" width="12.42578125" style="108" customWidth="1"/>
    <col min="6153" max="6153" width="0.85546875" style="108" customWidth="1"/>
    <col min="6154" max="6154" width="13.7109375" style="108" customWidth="1"/>
    <col min="6155" max="6399" width="11.42578125" style="108"/>
    <col min="6400" max="6400" width="7.85546875" style="108" customWidth="1"/>
    <col min="6401" max="6401" width="24.5703125" style="108" customWidth="1"/>
    <col min="6402" max="6402" width="3.7109375" style="108" customWidth="1"/>
    <col min="6403" max="6403" width="4.85546875" style="108" customWidth="1"/>
    <col min="6404" max="6404" width="0.85546875" style="108" customWidth="1"/>
    <col min="6405" max="6405" width="9" style="108" customWidth="1"/>
    <col min="6406" max="6406" width="10" style="108" customWidth="1"/>
    <col min="6407" max="6407" width="0.85546875" style="108" customWidth="1"/>
    <col min="6408" max="6408" width="12.42578125" style="108" customWidth="1"/>
    <col min="6409" max="6409" width="0.85546875" style="108" customWidth="1"/>
    <col min="6410" max="6410" width="13.7109375" style="108" customWidth="1"/>
    <col min="6411" max="6655" width="11.42578125" style="108"/>
    <col min="6656" max="6656" width="7.85546875" style="108" customWidth="1"/>
    <col min="6657" max="6657" width="24.5703125" style="108" customWidth="1"/>
    <col min="6658" max="6658" width="3.7109375" style="108" customWidth="1"/>
    <col min="6659" max="6659" width="4.85546875" style="108" customWidth="1"/>
    <col min="6660" max="6660" width="0.85546875" style="108" customWidth="1"/>
    <col min="6661" max="6661" width="9" style="108" customWidth="1"/>
    <col min="6662" max="6662" width="10" style="108" customWidth="1"/>
    <col min="6663" max="6663" width="0.85546875" style="108" customWidth="1"/>
    <col min="6664" max="6664" width="12.42578125" style="108" customWidth="1"/>
    <col min="6665" max="6665" width="0.85546875" style="108" customWidth="1"/>
    <col min="6666" max="6666" width="13.7109375" style="108" customWidth="1"/>
    <col min="6667" max="6911" width="11.42578125" style="108"/>
    <col min="6912" max="6912" width="7.85546875" style="108" customWidth="1"/>
    <col min="6913" max="6913" width="24.5703125" style="108" customWidth="1"/>
    <col min="6914" max="6914" width="3.7109375" style="108" customWidth="1"/>
    <col min="6915" max="6915" width="4.85546875" style="108" customWidth="1"/>
    <col min="6916" max="6916" width="0.85546875" style="108" customWidth="1"/>
    <col min="6917" max="6917" width="9" style="108" customWidth="1"/>
    <col min="6918" max="6918" width="10" style="108" customWidth="1"/>
    <col min="6919" max="6919" width="0.85546875" style="108" customWidth="1"/>
    <col min="6920" max="6920" width="12.42578125" style="108" customWidth="1"/>
    <col min="6921" max="6921" width="0.85546875" style="108" customWidth="1"/>
    <col min="6922" max="6922" width="13.7109375" style="108" customWidth="1"/>
    <col min="6923" max="7167" width="11.42578125" style="108"/>
    <col min="7168" max="7168" width="7.85546875" style="108" customWidth="1"/>
    <col min="7169" max="7169" width="24.5703125" style="108" customWidth="1"/>
    <col min="7170" max="7170" width="3.7109375" style="108" customWidth="1"/>
    <col min="7171" max="7171" width="4.85546875" style="108" customWidth="1"/>
    <col min="7172" max="7172" width="0.85546875" style="108" customWidth="1"/>
    <col min="7173" max="7173" width="9" style="108" customWidth="1"/>
    <col min="7174" max="7174" width="10" style="108" customWidth="1"/>
    <col min="7175" max="7175" width="0.85546875" style="108" customWidth="1"/>
    <col min="7176" max="7176" width="12.42578125" style="108" customWidth="1"/>
    <col min="7177" max="7177" width="0.85546875" style="108" customWidth="1"/>
    <col min="7178" max="7178" width="13.7109375" style="108" customWidth="1"/>
    <col min="7179" max="7423" width="11.42578125" style="108"/>
    <col min="7424" max="7424" width="7.85546875" style="108" customWidth="1"/>
    <col min="7425" max="7425" width="24.5703125" style="108" customWidth="1"/>
    <col min="7426" max="7426" width="3.7109375" style="108" customWidth="1"/>
    <col min="7427" max="7427" width="4.85546875" style="108" customWidth="1"/>
    <col min="7428" max="7428" width="0.85546875" style="108" customWidth="1"/>
    <col min="7429" max="7429" width="9" style="108" customWidth="1"/>
    <col min="7430" max="7430" width="10" style="108" customWidth="1"/>
    <col min="7431" max="7431" width="0.85546875" style="108" customWidth="1"/>
    <col min="7432" max="7432" width="12.42578125" style="108" customWidth="1"/>
    <col min="7433" max="7433" width="0.85546875" style="108" customWidth="1"/>
    <col min="7434" max="7434" width="13.7109375" style="108" customWidth="1"/>
    <col min="7435" max="7679" width="11.42578125" style="108"/>
    <col min="7680" max="7680" width="7.85546875" style="108" customWidth="1"/>
    <col min="7681" max="7681" width="24.5703125" style="108" customWidth="1"/>
    <col min="7682" max="7682" width="3.7109375" style="108" customWidth="1"/>
    <col min="7683" max="7683" width="4.85546875" style="108" customWidth="1"/>
    <col min="7684" max="7684" width="0.85546875" style="108" customWidth="1"/>
    <col min="7685" max="7685" width="9" style="108" customWidth="1"/>
    <col min="7686" max="7686" width="10" style="108" customWidth="1"/>
    <col min="7687" max="7687" width="0.85546875" style="108" customWidth="1"/>
    <col min="7688" max="7688" width="12.42578125" style="108" customWidth="1"/>
    <col min="7689" max="7689" width="0.85546875" style="108" customWidth="1"/>
    <col min="7690" max="7690" width="13.7109375" style="108" customWidth="1"/>
    <col min="7691" max="7935" width="11.42578125" style="108"/>
    <col min="7936" max="7936" width="7.85546875" style="108" customWidth="1"/>
    <col min="7937" max="7937" width="24.5703125" style="108" customWidth="1"/>
    <col min="7938" max="7938" width="3.7109375" style="108" customWidth="1"/>
    <col min="7939" max="7939" width="4.85546875" style="108" customWidth="1"/>
    <col min="7940" max="7940" width="0.85546875" style="108" customWidth="1"/>
    <col min="7941" max="7941" width="9" style="108" customWidth="1"/>
    <col min="7942" max="7942" width="10" style="108" customWidth="1"/>
    <col min="7943" max="7943" width="0.85546875" style="108" customWidth="1"/>
    <col min="7944" max="7944" width="12.42578125" style="108" customWidth="1"/>
    <col min="7945" max="7945" width="0.85546875" style="108" customWidth="1"/>
    <col min="7946" max="7946" width="13.7109375" style="108" customWidth="1"/>
    <col min="7947" max="8191" width="11.42578125" style="108"/>
    <col min="8192" max="8192" width="7.85546875" style="108" customWidth="1"/>
    <col min="8193" max="8193" width="24.5703125" style="108" customWidth="1"/>
    <col min="8194" max="8194" width="3.7109375" style="108" customWidth="1"/>
    <col min="8195" max="8195" width="4.85546875" style="108" customWidth="1"/>
    <col min="8196" max="8196" width="0.85546875" style="108" customWidth="1"/>
    <col min="8197" max="8197" width="9" style="108" customWidth="1"/>
    <col min="8198" max="8198" width="10" style="108" customWidth="1"/>
    <col min="8199" max="8199" width="0.85546875" style="108" customWidth="1"/>
    <col min="8200" max="8200" width="12.42578125" style="108" customWidth="1"/>
    <col min="8201" max="8201" width="0.85546875" style="108" customWidth="1"/>
    <col min="8202" max="8202" width="13.7109375" style="108" customWidth="1"/>
    <col min="8203" max="8447" width="11.42578125" style="108"/>
    <col min="8448" max="8448" width="7.85546875" style="108" customWidth="1"/>
    <col min="8449" max="8449" width="24.5703125" style="108" customWidth="1"/>
    <col min="8450" max="8450" width="3.7109375" style="108" customWidth="1"/>
    <col min="8451" max="8451" width="4.85546875" style="108" customWidth="1"/>
    <col min="8452" max="8452" width="0.85546875" style="108" customWidth="1"/>
    <col min="8453" max="8453" width="9" style="108" customWidth="1"/>
    <col min="8454" max="8454" width="10" style="108" customWidth="1"/>
    <col min="8455" max="8455" width="0.85546875" style="108" customWidth="1"/>
    <col min="8456" max="8456" width="12.42578125" style="108" customWidth="1"/>
    <col min="8457" max="8457" width="0.85546875" style="108" customWidth="1"/>
    <col min="8458" max="8458" width="13.7109375" style="108" customWidth="1"/>
    <col min="8459" max="8703" width="11.42578125" style="108"/>
    <col min="8704" max="8704" width="7.85546875" style="108" customWidth="1"/>
    <col min="8705" max="8705" width="24.5703125" style="108" customWidth="1"/>
    <col min="8706" max="8706" width="3.7109375" style="108" customWidth="1"/>
    <col min="8707" max="8707" width="4.85546875" style="108" customWidth="1"/>
    <col min="8708" max="8708" width="0.85546875" style="108" customWidth="1"/>
    <col min="8709" max="8709" width="9" style="108" customWidth="1"/>
    <col min="8710" max="8710" width="10" style="108" customWidth="1"/>
    <col min="8711" max="8711" width="0.85546875" style="108" customWidth="1"/>
    <col min="8712" max="8712" width="12.42578125" style="108" customWidth="1"/>
    <col min="8713" max="8713" width="0.85546875" style="108" customWidth="1"/>
    <col min="8714" max="8714" width="13.7109375" style="108" customWidth="1"/>
    <col min="8715" max="8959" width="11.42578125" style="108"/>
    <col min="8960" max="8960" width="7.85546875" style="108" customWidth="1"/>
    <col min="8961" max="8961" width="24.5703125" style="108" customWidth="1"/>
    <col min="8962" max="8962" width="3.7109375" style="108" customWidth="1"/>
    <col min="8963" max="8963" width="4.85546875" style="108" customWidth="1"/>
    <col min="8964" max="8964" width="0.85546875" style="108" customWidth="1"/>
    <col min="8965" max="8965" width="9" style="108" customWidth="1"/>
    <col min="8966" max="8966" width="10" style="108" customWidth="1"/>
    <col min="8967" max="8967" width="0.85546875" style="108" customWidth="1"/>
    <col min="8968" max="8968" width="12.42578125" style="108" customWidth="1"/>
    <col min="8969" max="8969" width="0.85546875" style="108" customWidth="1"/>
    <col min="8970" max="8970" width="13.7109375" style="108" customWidth="1"/>
    <col min="8971" max="9215" width="11.42578125" style="108"/>
    <col min="9216" max="9216" width="7.85546875" style="108" customWidth="1"/>
    <col min="9217" max="9217" width="24.5703125" style="108" customWidth="1"/>
    <col min="9218" max="9218" width="3.7109375" style="108" customWidth="1"/>
    <col min="9219" max="9219" width="4.85546875" style="108" customWidth="1"/>
    <col min="9220" max="9220" width="0.85546875" style="108" customWidth="1"/>
    <col min="9221" max="9221" width="9" style="108" customWidth="1"/>
    <col min="9222" max="9222" width="10" style="108" customWidth="1"/>
    <col min="9223" max="9223" width="0.85546875" style="108" customWidth="1"/>
    <col min="9224" max="9224" width="12.42578125" style="108" customWidth="1"/>
    <col min="9225" max="9225" width="0.85546875" style="108" customWidth="1"/>
    <col min="9226" max="9226" width="13.7109375" style="108" customWidth="1"/>
    <col min="9227" max="9471" width="11.42578125" style="108"/>
    <col min="9472" max="9472" width="7.85546875" style="108" customWidth="1"/>
    <col min="9473" max="9473" width="24.5703125" style="108" customWidth="1"/>
    <col min="9474" max="9474" width="3.7109375" style="108" customWidth="1"/>
    <col min="9475" max="9475" width="4.85546875" style="108" customWidth="1"/>
    <col min="9476" max="9476" width="0.85546875" style="108" customWidth="1"/>
    <col min="9477" max="9477" width="9" style="108" customWidth="1"/>
    <col min="9478" max="9478" width="10" style="108" customWidth="1"/>
    <col min="9479" max="9479" width="0.85546875" style="108" customWidth="1"/>
    <col min="9480" max="9480" width="12.42578125" style="108" customWidth="1"/>
    <col min="9481" max="9481" width="0.85546875" style="108" customWidth="1"/>
    <col min="9482" max="9482" width="13.7109375" style="108" customWidth="1"/>
    <col min="9483" max="9727" width="11.42578125" style="108"/>
    <col min="9728" max="9728" width="7.85546875" style="108" customWidth="1"/>
    <col min="9729" max="9729" width="24.5703125" style="108" customWidth="1"/>
    <col min="9730" max="9730" width="3.7109375" style="108" customWidth="1"/>
    <col min="9731" max="9731" width="4.85546875" style="108" customWidth="1"/>
    <col min="9732" max="9732" width="0.85546875" style="108" customWidth="1"/>
    <col min="9733" max="9733" width="9" style="108" customWidth="1"/>
    <col min="9734" max="9734" width="10" style="108" customWidth="1"/>
    <col min="9735" max="9735" width="0.85546875" style="108" customWidth="1"/>
    <col min="9736" max="9736" width="12.42578125" style="108" customWidth="1"/>
    <col min="9737" max="9737" width="0.85546875" style="108" customWidth="1"/>
    <col min="9738" max="9738" width="13.7109375" style="108" customWidth="1"/>
    <col min="9739" max="9983" width="11.42578125" style="108"/>
    <col min="9984" max="9984" width="7.85546875" style="108" customWidth="1"/>
    <col min="9985" max="9985" width="24.5703125" style="108" customWidth="1"/>
    <col min="9986" max="9986" width="3.7109375" style="108" customWidth="1"/>
    <col min="9987" max="9987" width="4.85546875" style="108" customWidth="1"/>
    <col min="9988" max="9988" width="0.85546875" style="108" customWidth="1"/>
    <col min="9989" max="9989" width="9" style="108" customWidth="1"/>
    <col min="9990" max="9990" width="10" style="108" customWidth="1"/>
    <col min="9991" max="9991" width="0.85546875" style="108" customWidth="1"/>
    <col min="9992" max="9992" width="12.42578125" style="108" customWidth="1"/>
    <col min="9993" max="9993" width="0.85546875" style="108" customWidth="1"/>
    <col min="9994" max="9994" width="13.7109375" style="108" customWidth="1"/>
    <col min="9995" max="10239" width="11.42578125" style="108"/>
    <col min="10240" max="10240" width="7.85546875" style="108" customWidth="1"/>
    <col min="10241" max="10241" width="24.5703125" style="108" customWidth="1"/>
    <col min="10242" max="10242" width="3.7109375" style="108" customWidth="1"/>
    <col min="10243" max="10243" width="4.85546875" style="108" customWidth="1"/>
    <col min="10244" max="10244" width="0.85546875" style="108" customWidth="1"/>
    <col min="10245" max="10245" width="9" style="108" customWidth="1"/>
    <col min="10246" max="10246" width="10" style="108" customWidth="1"/>
    <col min="10247" max="10247" width="0.85546875" style="108" customWidth="1"/>
    <col min="10248" max="10248" width="12.42578125" style="108" customWidth="1"/>
    <col min="10249" max="10249" width="0.85546875" style="108" customWidth="1"/>
    <col min="10250" max="10250" width="13.7109375" style="108" customWidth="1"/>
    <col min="10251" max="10495" width="11.42578125" style="108"/>
    <col min="10496" max="10496" width="7.85546875" style="108" customWidth="1"/>
    <col min="10497" max="10497" width="24.5703125" style="108" customWidth="1"/>
    <col min="10498" max="10498" width="3.7109375" style="108" customWidth="1"/>
    <col min="10499" max="10499" width="4.85546875" style="108" customWidth="1"/>
    <col min="10500" max="10500" width="0.85546875" style="108" customWidth="1"/>
    <col min="10501" max="10501" width="9" style="108" customWidth="1"/>
    <col min="10502" max="10502" width="10" style="108" customWidth="1"/>
    <col min="10503" max="10503" width="0.85546875" style="108" customWidth="1"/>
    <col min="10504" max="10504" width="12.42578125" style="108" customWidth="1"/>
    <col min="10505" max="10505" width="0.85546875" style="108" customWidth="1"/>
    <col min="10506" max="10506" width="13.7109375" style="108" customWidth="1"/>
    <col min="10507" max="10751" width="11.42578125" style="108"/>
    <col min="10752" max="10752" width="7.85546875" style="108" customWidth="1"/>
    <col min="10753" max="10753" width="24.5703125" style="108" customWidth="1"/>
    <col min="10754" max="10754" width="3.7109375" style="108" customWidth="1"/>
    <col min="10755" max="10755" width="4.85546875" style="108" customWidth="1"/>
    <col min="10756" max="10756" width="0.85546875" style="108" customWidth="1"/>
    <col min="10757" max="10757" width="9" style="108" customWidth="1"/>
    <col min="10758" max="10758" width="10" style="108" customWidth="1"/>
    <col min="10759" max="10759" width="0.85546875" style="108" customWidth="1"/>
    <col min="10760" max="10760" width="12.42578125" style="108" customWidth="1"/>
    <col min="10761" max="10761" width="0.85546875" style="108" customWidth="1"/>
    <col min="10762" max="10762" width="13.7109375" style="108" customWidth="1"/>
    <col min="10763" max="11007" width="11.42578125" style="108"/>
    <col min="11008" max="11008" width="7.85546875" style="108" customWidth="1"/>
    <col min="11009" max="11009" width="24.5703125" style="108" customWidth="1"/>
    <col min="11010" max="11010" width="3.7109375" style="108" customWidth="1"/>
    <col min="11011" max="11011" width="4.85546875" style="108" customWidth="1"/>
    <col min="11012" max="11012" width="0.85546875" style="108" customWidth="1"/>
    <col min="11013" max="11013" width="9" style="108" customWidth="1"/>
    <col min="11014" max="11014" width="10" style="108" customWidth="1"/>
    <col min="11015" max="11015" width="0.85546875" style="108" customWidth="1"/>
    <col min="11016" max="11016" width="12.42578125" style="108" customWidth="1"/>
    <col min="11017" max="11017" width="0.85546875" style="108" customWidth="1"/>
    <col min="11018" max="11018" width="13.7109375" style="108" customWidth="1"/>
    <col min="11019" max="11263" width="11.42578125" style="108"/>
    <col min="11264" max="11264" width="7.85546875" style="108" customWidth="1"/>
    <col min="11265" max="11265" width="24.5703125" style="108" customWidth="1"/>
    <col min="11266" max="11266" width="3.7109375" style="108" customWidth="1"/>
    <col min="11267" max="11267" width="4.85546875" style="108" customWidth="1"/>
    <col min="11268" max="11268" width="0.85546875" style="108" customWidth="1"/>
    <col min="11269" max="11269" width="9" style="108" customWidth="1"/>
    <col min="11270" max="11270" width="10" style="108" customWidth="1"/>
    <col min="11271" max="11271" width="0.85546875" style="108" customWidth="1"/>
    <col min="11272" max="11272" width="12.42578125" style="108" customWidth="1"/>
    <col min="11273" max="11273" width="0.85546875" style="108" customWidth="1"/>
    <col min="11274" max="11274" width="13.7109375" style="108" customWidth="1"/>
    <col min="11275" max="11519" width="11.42578125" style="108"/>
    <col min="11520" max="11520" width="7.85546875" style="108" customWidth="1"/>
    <col min="11521" max="11521" width="24.5703125" style="108" customWidth="1"/>
    <col min="11522" max="11522" width="3.7109375" style="108" customWidth="1"/>
    <col min="11523" max="11523" width="4.85546875" style="108" customWidth="1"/>
    <col min="11524" max="11524" width="0.85546875" style="108" customWidth="1"/>
    <col min="11525" max="11525" width="9" style="108" customWidth="1"/>
    <col min="11526" max="11526" width="10" style="108" customWidth="1"/>
    <col min="11527" max="11527" width="0.85546875" style="108" customWidth="1"/>
    <col min="11528" max="11528" width="12.42578125" style="108" customWidth="1"/>
    <col min="11529" max="11529" width="0.85546875" style="108" customWidth="1"/>
    <col min="11530" max="11530" width="13.7109375" style="108" customWidth="1"/>
    <col min="11531" max="11775" width="11.42578125" style="108"/>
    <col min="11776" max="11776" width="7.85546875" style="108" customWidth="1"/>
    <col min="11777" max="11777" width="24.5703125" style="108" customWidth="1"/>
    <col min="11778" max="11778" width="3.7109375" style="108" customWidth="1"/>
    <col min="11779" max="11779" width="4.85546875" style="108" customWidth="1"/>
    <col min="11780" max="11780" width="0.85546875" style="108" customWidth="1"/>
    <col min="11781" max="11781" width="9" style="108" customWidth="1"/>
    <col min="11782" max="11782" width="10" style="108" customWidth="1"/>
    <col min="11783" max="11783" width="0.85546875" style="108" customWidth="1"/>
    <col min="11784" max="11784" width="12.42578125" style="108" customWidth="1"/>
    <col min="11785" max="11785" width="0.85546875" style="108" customWidth="1"/>
    <col min="11786" max="11786" width="13.7109375" style="108" customWidth="1"/>
    <col min="11787" max="12031" width="11.42578125" style="108"/>
    <col min="12032" max="12032" width="7.85546875" style="108" customWidth="1"/>
    <col min="12033" max="12033" width="24.5703125" style="108" customWidth="1"/>
    <col min="12034" max="12034" width="3.7109375" style="108" customWidth="1"/>
    <col min="12035" max="12035" width="4.85546875" style="108" customWidth="1"/>
    <col min="12036" max="12036" width="0.85546875" style="108" customWidth="1"/>
    <col min="12037" max="12037" width="9" style="108" customWidth="1"/>
    <col min="12038" max="12038" width="10" style="108" customWidth="1"/>
    <col min="12039" max="12039" width="0.85546875" style="108" customWidth="1"/>
    <col min="12040" max="12040" width="12.42578125" style="108" customWidth="1"/>
    <col min="12041" max="12041" width="0.85546875" style="108" customWidth="1"/>
    <col min="12042" max="12042" width="13.7109375" style="108" customWidth="1"/>
    <col min="12043" max="12287" width="11.42578125" style="108"/>
    <col min="12288" max="12288" width="7.85546875" style="108" customWidth="1"/>
    <col min="12289" max="12289" width="24.5703125" style="108" customWidth="1"/>
    <col min="12290" max="12290" width="3.7109375" style="108" customWidth="1"/>
    <col min="12291" max="12291" width="4.85546875" style="108" customWidth="1"/>
    <col min="12292" max="12292" width="0.85546875" style="108" customWidth="1"/>
    <col min="12293" max="12293" width="9" style="108" customWidth="1"/>
    <col min="12294" max="12294" width="10" style="108" customWidth="1"/>
    <col min="12295" max="12295" width="0.85546875" style="108" customWidth="1"/>
    <col min="12296" max="12296" width="12.42578125" style="108" customWidth="1"/>
    <col min="12297" max="12297" width="0.85546875" style="108" customWidth="1"/>
    <col min="12298" max="12298" width="13.7109375" style="108" customWidth="1"/>
    <col min="12299" max="12543" width="11.42578125" style="108"/>
    <col min="12544" max="12544" width="7.85546875" style="108" customWidth="1"/>
    <col min="12545" max="12545" width="24.5703125" style="108" customWidth="1"/>
    <col min="12546" max="12546" width="3.7109375" style="108" customWidth="1"/>
    <col min="12547" max="12547" width="4.85546875" style="108" customWidth="1"/>
    <col min="12548" max="12548" width="0.85546875" style="108" customWidth="1"/>
    <col min="12549" max="12549" width="9" style="108" customWidth="1"/>
    <col min="12550" max="12550" width="10" style="108" customWidth="1"/>
    <col min="12551" max="12551" width="0.85546875" style="108" customWidth="1"/>
    <col min="12552" max="12552" width="12.42578125" style="108" customWidth="1"/>
    <col min="12553" max="12553" width="0.85546875" style="108" customWidth="1"/>
    <col min="12554" max="12554" width="13.7109375" style="108" customWidth="1"/>
    <col min="12555" max="12799" width="11.42578125" style="108"/>
    <col min="12800" max="12800" width="7.85546875" style="108" customWidth="1"/>
    <col min="12801" max="12801" width="24.5703125" style="108" customWidth="1"/>
    <col min="12802" max="12802" width="3.7109375" style="108" customWidth="1"/>
    <col min="12803" max="12803" width="4.85546875" style="108" customWidth="1"/>
    <col min="12804" max="12804" width="0.85546875" style="108" customWidth="1"/>
    <col min="12805" max="12805" width="9" style="108" customWidth="1"/>
    <col min="12806" max="12806" width="10" style="108" customWidth="1"/>
    <col min="12807" max="12807" width="0.85546875" style="108" customWidth="1"/>
    <col min="12808" max="12808" width="12.42578125" style="108" customWidth="1"/>
    <col min="12809" max="12809" width="0.85546875" style="108" customWidth="1"/>
    <col min="12810" max="12810" width="13.7109375" style="108" customWidth="1"/>
    <col min="12811" max="13055" width="11.42578125" style="108"/>
    <col min="13056" max="13056" width="7.85546875" style="108" customWidth="1"/>
    <col min="13057" max="13057" width="24.5703125" style="108" customWidth="1"/>
    <col min="13058" max="13058" width="3.7109375" style="108" customWidth="1"/>
    <col min="13059" max="13059" width="4.85546875" style="108" customWidth="1"/>
    <col min="13060" max="13060" width="0.85546875" style="108" customWidth="1"/>
    <col min="13061" max="13061" width="9" style="108" customWidth="1"/>
    <col min="13062" max="13062" width="10" style="108" customWidth="1"/>
    <col min="13063" max="13063" width="0.85546875" style="108" customWidth="1"/>
    <col min="13064" max="13064" width="12.42578125" style="108" customWidth="1"/>
    <col min="13065" max="13065" width="0.85546875" style="108" customWidth="1"/>
    <col min="13066" max="13066" width="13.7109375" style="108" customWidth="1"/>
    <col min="13067" max="13311" width="11.42578125" style="108"/>
    <col min="13312" max="13312" width="7.85546875" style="108" customWidth="1"/>
    <col min="13313" max="13313" width="24.5703125" style="108" customWidth="1"/>
    <col min="13314" max="13314" width="3.7109375" style="108" customWidth="1"/>
    <col min="13315" max="13315" width="4.85546875" style="108" customWidth="1"/>
    <col min="13316" max="13316" width="0.85546875" style="108" customWidth="1"/>
    <col min="13317" max="13317" width="9" style="108" customWidth="1"/>
    <col min="13318" max="13318" width="10" style="108" customWidth="1"/>
    <col min="13319" max="13319" width="0.85546875" style="108" customWidth="1"/>
    <col min="13320" max="13320" width="12.42578125" style="108" customWidth="1"/>
    <col min="13321" max="13321" width="0.85546875" style="108" customWidth="1"/>
    <col min="13322" max="13322" width="13.7109375" style="108" customWidth="1"/>
    <col min="13323" max="13567" width="11.42578125" style="108"/>
    <col min="13568" max="13568" width="7.85546875" style="108" customWidth="1"/>
    <col min="13569" max="13569" width="24.5703125" style="108" customWidth="1"/>
    <col min="13570" max="13570" width="3.7109375" style="108" customWidth="1"/>
    <col min="13571" max="13571" width="4.85546875" style="108" customWidth="1"/>
    <col min="13572" max="13572" width="0.85546875" style="108" customWidth="1"/>
    <col min="13573" max="13573" width="9" style="108" customWidth="1"/>
    <col min="13574" max="13574" width="10" style="108" customWidth="1"/>
    <col min="13575" max="13575" width="0.85546875" style="108" customWidth="1"/>
    <col min="13576" max="13576" width="12.42578125" style="108" customWidth="1"/>
    <col min="13577" max="13577" width="0.85546875" style="108" customWidth="1"/>
    <col min="13578" max="13578" width="13.7109375" style="108" customWidth="1"/>
    <col min="13579" max="13823" width="11.42578125" style="108"/>
    <col min="13824" max="13824" width="7.85546875" style="108" customWidth="1"/>
    <col min="13825" max="13825" width="24.5703125" style="108" customWidth="1"/>
    <col min="13826" max="13826" width="3.7109375" style="108" customWidth="1"/>
    <col min="13827" max="13827" width="4.85546875" style="108" customWidth="1"/>
    <col min="13828" max="13828" width="0.85546875" style="108" customWidth="1"/>
    <col min="13829" max="13829" width="9" style="108" customWidth="1"/>
    <col min="13830" max="13830" width="10" style="108" customWidth="1"/>
    <col min="13831" max="13831" width="0.85546875" style="108" customWidth="1"/>
    <col min="13832" max="13832" width="12.42578125" style="108" customWidth="1"/>
    <col min="13833" max="13833" width="0.85546875" style="108" customWidth="1"/>
    <col min="13834" max="13834" width="13.7109375" style="108" customWidth="1"/>
    <col min="13835" max="14079" width="11.42578125" style="108"/>
    <col min="14080" max="14080" width="7.85546875" style="108" customWidth="1"/>
    <col min="14081" max="14081" width="24.5703125" style="108" customWidth="1"/>
    <col min="14082" max="14082" width="3.7109375" style="108" customWidth="1"/>
    <col min="14083" max="14083" width="4.85546875" style="108" customWidth="1"/>
    <col min="14084" max="14084" width="0.85546875" style="108" customWidth="1"/>
    <col min="14085" max="14085" width="9" style="108" customWidth="1"/>
    <col min="14086" max="14086" width="10" style="108" customWidth="1"/>
    <col min="14087" max="14087" width="0.85546875" style="108" customWidth="1"/>
    <col min="14088" max="14088" width="12.42578125" style="108" customWidth="1"/>
    <col min="14089" max="14089" width="0.85546875" style="108" customWidth="1"/>
    <col min="14090" max="14090" width="13.7109375" style="108" customWidth="1"/>
    <col min="14091" max="14335" width="11.42578125" style="108"/>
    <col min="14336" max="14336" width="7.85546875" style="108" customWidth="1"/>
    <col min="14337" max="14337" width="24.5703125" style="108" customWidth="1"/>
    <col min="14338" max="14338" width="3.7109375" style="108" customWidth="1"/>
    <col min="14339" max="14339" width="4.85546875" style="108" customWidth="1"/>
    <col min="14340" max="14340" width="0.85546875" style="108" customWidth="1"/>
    <col min="14341" max="14341" width="9" style="108" customWidth="1"/>
    <col min="14342" max="14342" width="10" style="108" customWidth="1"/>
    <col min="14343" max="14343" width="0.85546875" style="108" customWidth="1"/>
    <col min="14344" max="14344" width="12.42578125" style="108" customWidth="1"/>
    <col min="14345" max="14345" width="0.85546875" style="108" customWidth="1"/>
    <col min="14346" max="14346" width="13.7109375" style="108" customWidth="1"/>
    <col min="14347" max="14591" width="11.42578125" style="108"/>
    <col min="14592" max="14592" width="7.85546875" style="108" customWidth="1"/>
    <col min="14593" max="14593" width="24.5703125" style="108" customWidth="1"/>
    <col min="14594" max="14594" width="3.7109375" style="108" customWidth="1"/>
    <col min="14595" max="14595" width="4.85546875" style="108" customWidth="1"/>
    <col min="14596" max="14596" width="0.85546875" style="108" customWidth="1"/>
    <col min="14597" max="14597" width="9" style="108" customWidth="1"/>
    <col min="14598" max="14598" width="10" style="108" customWidth="1"/>
    <col min="14599" max="14599" width="0.85546875" style="108" customWidth="1"/>
    <col min="14600" max="14600" width="12.42578125" style="108" customWidth="1"/>
    <col min="14601" max="14601" width="0.85546875" style="108" customWidth="1"/>
    <col min="14602" max="14602" width="13.7109375" style="108" customWidth="1"/>
    <col min="14603" max="14847" width="11.42578125" style="108"/>
    <col min="14848" max="14848" width="7.85546875" style="108" customWidth="1"/>
    <col min="14849" max="14849" width="24.5703125" style="108" customWidth="1"/>
    <col min="14850" max="14850" width="3.7109375" style="108" customWidth="1"/>
    <col min="14851" max="14851" width="4.85546875" style="108" customWidth="1"/>
    <col min="14852" max="14852" width="0.85546875" style="108" customWidth="1"/>
    <col min="14853" max="14853" width="9" style="108" customWidth="1"/>
    <col min="14854" max="14854" width="10" style="108" customWidth="1"/>
    <col min="14855" max="14855" width="0.85546875" style="108" customWidth="1"/>
    <col min="14856" max="14856" width="12.42578125" style="108" customWidth="1"/>
    <col min="14857" max="14857" width="0.85546875" style="108" customWidth="1"/>
    <col min="14858" max="14858" width="13.7109375" style="108" customWidth="1"/>
    <col min="14859" max="15103" width="11.42578125" style="108"/>
    <col min="15104" max="15104" width="7.85546875" style="108" customWidth="1"/>
    <col min="15105" max="15105" width="24.5703125" style="108" customWidth="1"/>
    <col min="15106" max="15106" width="3.7109375" style="108" customWidth="1"/>
    <col min="15107" max="15107" width="4.85546875" style="108" customWidth="1"/>
    <col min="15108" max="15108" width="0.85546875" style="108" customWidth="1"/>
    <col min="15109" max="15109" width="9" style="108" customWidth="1"/>
    <col min="15110" max="15110" width="10" style="108" customWidth="1"/>
    <col min="15111" max="15111" width="0.85546875" style="108" customWidth="1"/>
    <col min="15112" max="15112" width="12.42578125" style="108" customWidth="1"/>
    <col min="15113" max="15113" width="0.85546875" style="108" customWidth="1"/>
    <col min="15114" max="15114" width="13.7109375" style="108" customWidth="1"/>
    <col min="15115" max="15359" width="11.42578125" style="108"/>
    <col min="15360" max="15360" width="7.85546875" style="108" customWidth="1"/>
    <col min="15361" max="15361" width="24.5703125" style="108" customWidth="1"/>
    <col min="15362" max="15362" width="3.7109375" style="108" customWidth="1"/>
    <col min="15363" max="15363" width="4.85546875" style="108" customWidth="1"/>
    <col min="15364" max="15364" width="0.85546875" style="108" customWidth="1"/>
    <col min="15365" max="15365" width="9" style="108" customWidth="1"/>
    <col min="15366" max="15366" width="10" style="108" customWidth="1"/>
    <col min="15367" max="15367" width="0.85546875" style="108" customWidth="1"/>
    <col min="15368" max="15368" width="12.42578125" style="108" customWidth="1"/>
    <col min="15369" max="15369" width="0.85546875" style="108" customWidth="1"/>
    <col min="15370" max="15370" width="13.7109375" style="108" customWidth="1"/>
    <col min="15371" max="15615" width="11.42578125" style="108"/>
    <col min="15616" max="15616" width="7.85546875" style="108" customWidth="1"/>
    <col min="15617" max="15617" width="24.5703125" style="108" customWidth="1"/>
    <col min="15618" max="15618" width="3.7109375" style="108" customWidth="1"/>
    <col min="15619" max="15619" width="4.85546875" style="108" customWidth="1"/>
    <col min="15620" max="15620" width="0.85546875" style="108" customWidth="1"/>
    <col min="15621" max="15621" width="9" style="108" customWidth="1"/>
    <col min="15622" max="15622" width="10" style="108" customWidth="1"/>
    <col min="15623" max="15623" width="0.85546875" style="108" customWidth="1"/>
    <col min="15624" max="15624" width="12.42578125" style="108" customWidth="1"/>
    <col min="15625" max="15625" width="0.85546875" style="108" customWidth="1"/>
    <col min="15626" max="15626" width="13.7109375" style="108" customWidth="1"/>
    <col min="15627" max="15871" width="11.42578125" style="108"/>
    <col min="15872" max="15872" width="7.85546875" style="108" customWidth="1"/>
    <col min="15873" max="15873" width="24.5703125" style="108" customWidth="1"/>
    <col min="15874" max="15874" width="3.7109375" style="108" customWidth="1"/>
    <col min="15875" max="15875" width="4.85546875" style="108" customWidth="1"/>
    <col min="15876" max="15876" width="0.85546875" style="108" customWidth="1"/>
    <col min="15877" max="15877" width="9" style="108" customWidth="1"/>
    <col min="15878" max="15878" width="10" style="108" customWidth="1"/>
    <col min="15879" max="15879" width="0.85546875" style="108" customWidth="1"/>
    <col min="15880" max="15880" width="12.42578125" style="108" customWidth="1"/>
    <col min="15881" max="15881" width="0.85546875" style="108" customWidth="1"/>
    <col min="15882" max="15882" width="13.7109375" style="108" customWidth="1"/>
    <col min="15883" max="16127" width="11.42578125" style="108"/>
    <col min="16128" max="16128" width="7.85546875" style="108" customWidth="1"/>
    <col min="16129" max="16129" width="24.5703125" style="108" customWidth="1"/>
    <col min="16130" max="16130" width="3.7109375" style="108" customWidth="1"/>
    <col min="16131" max="16131" width="4.85546875" style="108" customWidth="1"/>
    <col min="16132" max="16132" width="0.85546875" style="108" customWidth="1"/>
    <col min="16133" max="16133" width="9" style="108" customWidth="1"/>
    <col min="16134" max="16134" width="10" style="108" customWidth="1"/>
    <col min="16135" max="16135" width="0.85546875" style="108" customWidth="1"/>
    <col min="16136" max="16136" width="12.42578125" style="108" customWidth="1"/>
    <col min="16137" max="16137" width="0.85546875" style="108" customWidth="1"/>
    <col min="16138" max="16138" width="13.7109375" style="108" customWidth="1"/>
    <col min="16139" max="16384" width="11.42578125" style="108"/>
  </cols>
  <sheetData>
    <row r="1" spans="1:14">
      <c r="A1" s="2"/>
    </row>
    <row r="2" spans="1:14">
      <c r="D2" s="115"/>
    </row>
    <row r="3" spans="1:14" s="109" customFormat="1" ht="33.75" customHeight="1">
      <c r="A3" s="297" t="s">
        <v>301</v>
      </c>
      <c r="B3" s="297"/>
      <c r="C3" s="297"/>
      <c r="D3" s="297"/>
      <c r="E3" s="297"/>
      <c r="F3" s="297"/>
      <c r="G3" s="297"/>
      <c r="H3" s="297"/>
      <c r="I3" s="297"/>
      <c r="J3" s="115"/>
    </row>
    <row r="6" spans="1:14" ht="15.6" customHeight="1">
      <c r="E6" s="300" t="s">
        <v>196</v>
      </c>
      <c r="F6" s="300"/>
      <c r="G6" s="300"/>
      <c r="H6" s="300"/>
      <c r="I6" s="300"/>
      <c r="J6" s="298" t="s">
        <v>202</v>
      </c>
      <c r="K6" s="95"/>
    </row>
    <row r="7" spans="1:14" s="111" customFormat="1" ht="38.25" customHeight="1">
      <c r="A7" s="28" t="s">
        <v>197</v>
      </c>
      <c r="B7" s="28" t="s">
        <v>198</v>
      </c>
      <c r="C7" s="28" t="s">
        <v>199</v>
      </c>
      <c r="D7" s="71" t="s">
        <v>200</v>
      </c>
      <c r="E7" s="28" t="s">
        <v>201</v>
      </c>
      <c r="F7" s="164" t="s">
        <v>294</v>
      </c>
      <c r="G7" s="15" t="s">
        <v>248</v>
      </c>
      <c r="H7" s="160" t="s">
        <v>249</v>
      </c>
      <c r="I7" s="259" t="s">
        <v>37</v>
      </c>
      <c r="J7" s="299"/>
      <c r="K7" s="116"/>
    </row>
    <row r="8" spans="1:14" s="111" customFormat="1">
      <c r="A8" s="70">
        <v>1</v>
      </c>
      <c r="B8" s="197" t="s">
        <v>230</v>
      </c>
      <c r="C8" s="70" t="s">
        <v>203</v>
      </c>
      <c r="D8" s="70">
        <v>1</v>
      </c>
      <c r="E8" s="242">
        <f>1758.9*2</f>
        <v>3517.8</v>
      </c>
      <c r="F8" s="159">
        <f>D8*E8</f>
        <v>3517.8</v>
      </c>
      <c r="G8" s="165">
        <f>$E$46</f>
        <v>1.8</v>
      </c>
      <c r="H8" s="159">
        <f>E8*G8</f>
        <v>6332.0400000000009</v>
      </c>
      <c r="I8" s="159">
        <f>(H8*D8)+F8</f>
        <v>9849.84</v>
      </c>
      <c r="J8" s="127">
        <f>I8*$E$47</f>
        <v>118198.08</v>
      </c>
      <c r="K8" s="116"/>
    </row>
    <row r="9" spans="1:14" s="111" customFormat="1">
      <c r="A9" s="70">
        <v>1</v>
      </c>
      <c r="B9" s="197" t="s">
        <v>258</v>
      </c>
      <c r="C9" s="70" t="s">
        <v>203</v>
      </c>
      <c r="D9" s="70">
        <v>1</v>
      </c>
      <c r="E9" s="242">
        <f>686.4*2</f>
        <v>1372.8</v>
      </c>
      <c r="F9" s="159">
        <f t="shared" ref="F9:F30" si="0">D9*E9</f>
        <v>1372.8</v>
      </c>
      <c r="G9" s="165">
        <f t="shared" ref="G9:G30" si="1">$E$46</f>
        <v>1.8</v>
      </c>
      <c r="H9" s="159">
        <f t="shared" ref="H9:H30" si="2">E9*G9</f>
        <v>2471.04</v>
      </c>
      <c r="I9" s="159">
        <f t="shared" ref="I9:I30" si="3">(H9*D9)+F9</f>
        <v>3843.84</v>
      </c>
      <c r="J9" s="127">
        <f t="shared" ref="J9:J13" si="4">I9*$E$47</f>
        <v>46126.080000000002</v>
      </c>
      <c r="K9" s="116"/>
    </row>
    <row r="10" spans="1:14" s="111" customFormat="1">
      <c r="A10" s="70">
        <v>1</v>
      </c>
      <c r="B10" s="197" t="s">
        <v>259</v>
      </c>
      <c r="C10" s="70" t="s">
        <v>203</v>
      </c>
      <c r="D10" s="70">
        <v>1</v>
      </c>
      <c r="E10" s="242">
        <f>686.4*2</f>
        <v>1372.8</v>
      </c>
      <c r="F10" s="159">
        <f t="shared" si="0"/>
        <v>1372.8</v>
      </c>
      <c r="G10" s="165">
        <f t="shared" si="1"/>
        <v>1.8</v>
      </c>
      <c r="H10" s="159">
        <f t="shared" si="2"/>
        <v>2471.04</v>
      </c>
      <c r="I10" s="159">
        <f t="shared" si="3"/>
        <v>3843.84</v>
      </c>
      <c r="J10" s="127">
        <f t="shared" si="4"/>
        <v>46126.080000000002</v>
      </c>
      <c r="K10" s="116"/>
    </row>
    <row r="11" spans="1:14" s="111" customFormat="1">
      <c r="A11" s="70">
        <v>1</v>
      </c>
      <c r="B11" s="197" t="s">
        <v>260</v>
      </c>
      <c r="C11" s="70" t="s">
        <v>203</v>
      </c>
      <c r="D11" s="70">
        <v>1</v>
      </c>
      <c r="E11" s="242">
        <f>686.4*2</f>
        <v>1372.8</v>
      </c>
      <c r="F11" s="159">
        <f t="shared" si="0"/>
        <v>1372.8</v>
      </c>
      <c r="G11" s="165">
        <f t="shared" si="1"/>
        <v>1.8</v>
      </c>
      <c r="H11" s="159">
        <f t="shared" si="2"/>
        <v>2471.04</v>
      </c>
      <c r="I11" s="159">
        <f t="shared" si="3"/>
        <v>3843.84</v>
      </c>
      <c r="J11" s="127">
        <f t="shared" si="4"/>
        <v>46126.080000000002</v>
      </c>
      <c r="K11" s="116"/>
    </row>
    <row r="12" spans="1:14" s="111" customFormat="1">
      <c r="A12" s="70">
        <v>1</v>
      </c>
      <c r="B12" s="197" t="s">
        <v>215</v>
      </c>
      <c r="C12" s="70" t="s">
        <v>203</v>
      </c>
      <c r="D12" s="70">
        <v>1</v>
      </c>
      <c r="E12" s="242">
        <f>1544.4*2</f>
        <v>3088.8</v>
      </c>
      <c r="F12" s="159">
        <f t="shared" si="0"/>
        <v>3088.8</v>
      </c>
      <c r="G12" s="165">
        <f t="shared" si="1"/>
        <v>1.8</v>
      </c>
      <c r="H12" s="159">
        <f t="shared" si="2"/>
        <v>5559.84</v>
      </c>
      <c r="I12" s="159">
        <f t="shared" si="3"/>
        <v>8648.64</v>
      </c>
      <c r="J12" s="127">
        <f t="shared" si="4"/>
        <v>103783.67999999999</v>
      </c>
      <c r="K12" s="116"/>
    </row>
    <row r="13" spans="1:14" s="111" customFormat="1">
      <c r="A13" s="70">
        <v>1</v>
      </c>
      <c r="B13" s="197" t="s">
        <v>216</v>
      </c>
      <c r="C13" s="70" t="s">
        <v>203</v>
      </c>
      <c r="D13" s="70">
        <v>1</v>
      </c>
      <c r="E13" s="242">
        <f>1544.4*2</f>
        <v>3088.8</v>
      </c>
      <c r="F13" s="159">
        <f t="shared" si="0"/>
        <v>3088.8</v>
      </c>
      <c r="G13" s="165">
        <f t="shared" si="1"/>
        <v>1.8</v>
      </c>
      <c r="H13" s="159">
        <f t="shared" si="2"/>
        <v>5559.84</v>
      </c>
      <c r="I13" s="159">
        <f t="shared" si="3"/>
        <v>8648.64</v>
      </c>
      <c r="J13" s="127">
        <f t="shared" si="4"/>
        <v>103783.67999999999</v>
      </c>
      <c r="K13" s="116"/>
    </row>
    <row r="14" spans="1:14" s="111" customFormat="1">
      <c r="A14" s="65">
        <v>2</v>
      </c>
      <c r="B14" s="198" t="s">
        <v>213</v>
      </c>
      <c r="C14" s="12" t="s">
        <v>203</v>
      </c>
      <c r="D14" s="12">
        <v>1</v>
      </c>
      <c r="E14" s="243">
        <f>1100*2</f>
        <v>2200</v>
      </c>
      <c r="F14" s="159">
        <f t="shared" si="0"/>
        <v>2200</v>
      </c>
      <c r="G14" s="165">
        <f t="shared" si="1"/>
        <v>1.8</v>
      </c>
      <c r="H14" s="159">
        <f t="shared" si="2"/>
        <v>3960</v>
      </c>
      <c r="I14" s="159">
        <f t="shared" si="3"/>
        <v>6160</v>
      </c>
      <c r="J14" s="127">
        <f t="shared" ref="J14:J28" si="5">I14*$E$47</f>
        <v>73920</v>
      </c>
      <c r="K14" s="116"/>
    </row>
    <row r="15" spans="1:14" s="111" customFormat="1">
      <c r="A15" s="65">
        <v>2</v>
      </c>
      <c r="B15" s="198" t="s">
        <v>214</v>
      </c>
      <c r="C15" s="12" t="s">
        <v>203</v>
      </c>
      <c r="D15" s="12">
        <v>1</v>
      </c>
      <c r="E15" s="243">
        <f>500*2</f>
        <v>1000</v>
      </c>
      <c r="F15" s="159">
        <f t="shared" si="0"/>
        <v>1000</v>
      </c>
      <c r="G15" s="165">
        <f t="shared" si="1"/>
        <v>1.8</v>
      </c>
      <c r="H15" s="159">
        <f>E15*G15</f>
        <v>1800</v>
      </c>
      <c r="I15" s="159">
        <f t="shared" si="3"/>
        <v>2800</v>
      </c>
      <c r="J15" s="127">
        <f t="shared" si="5"/>
        <v>33600</v>
      </c>
      <c r="K15" s="116"/>
      <c r="L15" s="199"/>
      <c r="M15" s="199"/>
      <c r="N15" s="199"/>
    </row>
    <row r="16" spans="1:14" s="111" customFormat="1">
      <c r="A16" s="65">
        <v>3</v>
      </c>
      <c r="B16" s="198" t="s">
        <v>217</v>
      </c>
      <c r="C16" s="12" t="s">
        <v>203</v>
      </c>
      <c r="D16" s="12">
        <v>1</v>
      </c>
      <c r="E16" s="243">
        <f>600*2</f>
        <v>1200</v>
      </c>
      <c r="F16" s="159">
        <f t="shared" si="0"/>
        <v>1200</v>
      </c>
      <c r="G16" s="165">
        <f t="shared" si="1"/>
        <v>1.8</v>
      </c>
      <c r="H16" s="159">
        <f t="shared" si="2"/>
        <v>2160</v>
      </c>
      <c r="I16" s="159">
        <f t="shared" si="3"/>
        <v>3360</v>
      </c>
      <c r="J16" s="127">
        <f t="shared" si="5"/>
        <v>40320</v>
      </c>
      <c r="K16" s="116"/>
      <c r="L16" s="199"/>
      <c r="M16" s="199"/>
      <c r="N16" s="199"/>
    </row>
    <row r="17" spans="1:18" s="111" customFormat="1">
      <c r="A17" s="65">
        <v>3</v>
      </c>
      <c r="B17" s="198" t="s">
        <v>218</v>
      </c>
      <c r="C17" s="12" t="s">
        <v>203</v>
      </c>
      <c r="D17" s="12">
        <v>3</v>
      </c>
      <c r="E17" s="243">
        <f>495*2</f>
        <v>990</v>
      </c>
      <c r="F17" s="159">
        <f t="shared" si="0"/>
        <v>2970</v>
      </c>
      <c r="G17" s="165">
        <f t="shared" si="1"/>
        <v>1.8</v>
      </c>
      <c r="H17" s="159">
        <f t="shared" si="2"/>
        <v>1782</v>
      </c>
      <c r="I17" s="159">
        <f t="shared" si="3"/>
        <v>8316</v>
      </c>
      <c r="J17" s="127">
        <f t="shared" si="5"/>
        <v>99792</v>
      </c>
      <c r="K17" s="116"/>
      <c r="L17" s="199"/>
      <c r="M17" s="199"/>
      <c r="N17" s="199"/>
    </row>
    <row r="18" spans="1:18" s="111" customFormat="1">
      <c r="A18" s="65">
        <v>4</v>
      </c>
      <c r="B18" s="198" t="s">
        <v>261</v>
      </c>
      <c r="C18" s="12" t="s">
        <v>203</v>
      </c>
      <c r="D18" s="12">
        <v>3</v>
      </c>
      <c r="E18" s="243">
        <f>(439.58*2)</f>
        <v>879.16</v>
      </c>
      <c r="F18" s="159">
        <f t="shared" si="0"/>
        <v>2637.48</v>
      </c>
      <c r="G18" s="165">
        <f t="shared" si="1"/>
        <v>1.8</v>
      </c>
      <c r="H18" s="159">
        <f t="shared" si="2"/>
        <v>1582.4880000000001</v>
      </c>
      <c r="I18" s="159">
        <f t="shared" si="3"/>
        <v>7384.9439999999995</v>
      </c>
      <c r="J18" s="127">
        <f t="shared" si="5"/>
        <v>88619.327999999994</v>
      </c>
      <c r="K18" s="116"/>
      <c r="L18" s="199"/>
      <c r="M18" s="199"/>
      <c r="N18" s="199"/>
    </row>
    <row r="19" spans="1:18" s="111" customFormat="1" ht="25.5">
      <c r="A19" s="65">
        <v>4</v>
      </c>
      <c r="B19" s="198" t="s">
        <v>262</v>
      </c>
      <c r="C19" s="12" t="s">
        <v>203</v>
      </c>
      <c r="D19" s="12">
        <v>3</v>
      </c>
      <c r="E19" s="243">
        <f>473*2</f>
        <v>946</v>
      </c>
      <c r="F19" s="159">
        <f t="shared" si="0"/>
        <v>2838</v>
      </c>
      <c r="G19" s="165">
        <f t="shared" si="1"/>
        <v>1.8</v>
      </c>
      <c r="H19" s="159">
        <f t="shared" si="2"/>
        <v>1702.8</v>
      </c>
      <c r="I19" s="159">
        <f t="shared" si="3"/>
        <v>7946.4</v>
      </c>
      <c r="J19" s="127">
        <f t="shared" si="5"/>
        <v>95356.799999999988</v>
      </c>
      <c r="K19" s="116"/>
      <c r="L19" s="199" t="s">
        <v>386</v>
      </c>
      <c r="M19" s="199" t="s">
        <v>387</v>
      </c>
      <c r="N19" s="111" t="s">
        <v>388</v>
      </c>
      <c r="O19" s="111" t="s">
        <v>398</v>
      </c>
      <c r="P19" s="111" t="s">
        <v>389</v>
      </c>
      <c r="Q19" s="111" t="s">
        <v>390</v>
      </c>
    </row>
    <row r="20" spans="1:18" s="111" customFormat="1">
      <c r="A20" s="65">
        <v>3</v>
      </c>
      <c r="B20" s="198" t="s">
        <v>219</v>
      </c>
      <c r="C20" s="12" t="s">
        <v>203</v>
      </c>
      <c r="D20" s="12">
        <v>1</v>
      </c>
      <c r="E20" s="243">
        <f>29.31*30</f>
        <v>879.3</v>
      </c>
      <c r="F20" s="159">
        <f t="shared" si="0"/>
        <v>879.3</v>
      </c>
      <c r="G20" s="165">
        <f t="shared" si="1"/>
        <v>1.8</v>
      </c>
      <c r="H20" s="159">
        <f t="shared" si="2"/>
        <v>1582.74</v>
      </c>
      <c r="I20" s="159">
        <f t="shared" si="3"/>
        <v>2462.04</v>
      </c>
      <c r="J20" s="127">
        <f t="shared" si="5"/>
        <v>29544.48</v>
      </c>
      <c r="K20" s="116"/>
      <c r="L20" s="111" t="s">
        <v>391</v>
      </c>
      <c r="M20" s="240">
        <v>12</v>
      </c>
      <c r="N20" s="240">
        <v>8426.9599999999991</v>
      </c>
      <c r="O20" s="240">
        <v>10357.32</v>
      </c>
      <c r="P20" s="240">
        <f>O20*2</f>
        <v>20714.64</v>
      </c>
      <c r="Q20" s="240">
        <f>P20*12</f>
        <v>248575.68</v>
      </c>
      <c r="R20" s="111">
        <f>N20+O20</f>
        <v>18784.28</v>
      </c>
    </row>
    <row r="21" spans="1:18" s="111" customFormat="1">
      <c r="A21" s="65">
        <v>2</v>
      </c>
      <c r="B21" s="198" t="s">
        <v>220</v>
      </c>
      <c r="C21" s="12" t="s">
        <v>203</v>
      </c>
      <c r="D21" s="12">
        <v>1</v>
      </c>
      <c r="E21" s="243">
        <f>750*2</f>
        <v>1500</v>
      </c>
      <c r="F21" s="159">
        <f t="shared" si="0"/>
        <v>1500</v>
      </c>
      <c r="G21" s="165">
        <f t="shared" si="1"/>
        <v>1.8</v>
      </c>
      <c r="H21" s="159">
        <f t="shared" si="2"/>
        <v>2700</v>
      </c>
      <c r="I21" s="159">
        <f t="shared" si="3"/>
        <v>4200</v>
      </c>
      <c r="J21" s="127">
        <f t="shared" si="5"/>
        <v>50400</v>
      </c>
      <c r="K21" s="116"/>
      <c r="L21" s="111" t="s">
        <v>392</v>
      </c>
      <c r="M21" s="240">
        <v>9</v>
      </c>
      <c r="N21" s="240">
        <f>5392.99-800</f>
        <v>4592.99</v>
      </c>
      <c r="O21" s="240">
        <v>4471.0600000000004</v>
      </c>
      <c r="P21" s="240">
        <f t="shared" ref="P21:P25" si="6">O21*2</f>
        <v>8942.1200000000008</v>
      </c>
      <c r="Q21" s="240">
        <f t="shared" ref="Q21:Q25" si="7">P21*12</f>
        <v>107305.44</v>
      </c>
      <c r="R21" s="111">
        <f t="shared" ref="R21:R25" si="8">N21+O21</f>
        <v>9064.0499999999993</v>
      </c>
    </row>
    <row r="22" spans="1:18" s="111" customFormat="1">
      <c r="A22" s="65">
        <v>2</v>
      </c>
      <c r="B22" s="198" t="s">
        <v>221</v>
      </c>
      <c r="C22" s="12" t="s">
        <v>203</v>
      </c>
      <c r="D22" s="12">
        <v>1</v>
      </c>
      <c r="E22" s="243">
        <f>686.4*2</f>
        <v>1372.8</v>
      </c>
      <c r="F22" s="159">
        <f t="shared" si="0"/>
        <v>1372.8</v>
      </c>
      <c r="G22" s="165">
        <f t="shared" si="1"/>
        <v>1.8</v>
      </c>
      <c r="H22" s="159">
        <f t="shared" si="2"/>
        <v>2471.04</v>
      </c>
      <c r="I22" s="159">
        <f t="shared" si="3"/>
        <v>3843.84</v>
      </c>
      <c r="J22" s="127">
        <f t="shared" si="5"/>
        <v>46126.080000000002</v>
      </c>
      <c r="K22" s="116"/>
      <c r="L22" s="111" t="s">
        <v>393</v>
      </c>
      <c r="M22" s="240">
        <v>1</v>
      </c>
      <c r="N22" s="240">
        <v>675</v>
      </c>
      <c r="O22" s="240">
        <v>675</v>
      </c>
      <c r="P22" s="240">
        <f t="shared" si="6"/>
        <v>1350</v>
      </c>
      <c r="Q22" s="240">
        <f t="shared" si="7"/>
        <v>16200</v>
      </c>
      <c r="R22" s="111">
        <f t="shared" si="8"/>
        <v>1350</v>
      </c>
    </row>
    <row r="23" spans="1:18" s="111" customFormat="1">
      <c r="A23" s="65">
        <v>2</v>
      </c>
      <c r="B23" s="198" t="s">
        <v>222</v>
      </c>
      <c r="C23" s="12" t="s">
        <v>203</v>
      </c>
      <c r="D23" s="12">
        <v>1</v>
      </c>
      <c r="E23" s="243">
        <f>600*2</f>
        <v>1200</v>
      </c>
      <c r="F23" s="159">
        <f t="shared" si="0"/>
        <v>1200</v>
      </c>
      <c r="G23" s="165">
        <f t="shared" si="1"/>
        <v>1.8</v>
      </c>
      <c r="H23" s="159">
        <f t="shared" si="2"/>
        <v>2160</v>
      </c>
      <c r="I23" s="159">
        <f t="shared" si="3"/>
        <v>3360</v>
      </c>
      <c r="J23" s="127">
        <f t="shared" si="5"/>
        <v>40320</v>
      </c>
      <c r="K23" s="116"/>
      <c r="L23" s="111" t="s">
        <v>394</v>
      </c>
      <c r="M23" s="240">
        <v>3</v>
      </c>
      <c r="N23" s="240">
        <v>1487.56</v>
      </c>
      <c r="O23" s="240">
        <v>1096.78</v>
      </c>
      <c r="P23" s="240">
        <f t="shared" si="6"/>
        <v>2193.56</v>
      </c>
      <c r="Q23" s="240">
        <f t="shared" si="7"/>
        <v>26322.720000000001</v>
      </c>
      <c r="R23" s="111">
        <f t="shared" si="8"/>
        <v>2584.34</v>
      </c>
    </row>
    <row r="24" spans="1:18" s="111" customFormat="1">
      <c r="A24" s="65">
        <v>2</v>
      </c>
      <c r="B24" s="198" t="s">
        <v>223</v>
      </c>
      <c r="C24" s="12" t="s">
        <v>203</v>
      </c>
      <c r="D24" s="12">
        <v>1</v>
      </c>
      <c r="E24" s="243">
        <f>514.8*2</f>
        <v>1029.5999999999999</v>
      </c>
      <c r="F24" s="159">
        <f t="shared" si="0"/>
        <v>1029.5999999999999</v>
      </c>
      <c r="G24" s="165">
        <f t="shared" si="1"/>
        <v>1.8</v>
      </c>
      <c r="H24" s="159">
        <f t="shared" si="2"/>
        <v>1853.28</v>
      </c>
      <c r="I24" s="159">
        <f t="shared" si="3"/>
        <v>2882.88</v>
      </c>
      <c r="J24" s="127">
        <f t="shared" si="5"/>
        <v>34594.559999999998</v>
      </c>
      <c r="K24" s="116"/>
      <c r="L24" s="111" t="s">
        <v>395</v>
      </c>
      <c r="M24" s="240">
        <v>3</v>
      </c>
      <c r="N24" s="240">
        <v>5729.1</v>
      </c>
      <c r="O24" s="240">
        <v>4847.7</v>
      </c>
      <c r="P24" s="240">
        <f t="shared" si="6"/>
        <v>9695.4</v>
      </c>
      <c r="Q24" s="240">
        <f t="shared" si="7"/>
        <v>116344.79999999999</v>
      </c>
      <c r="R24" s="111">
        <f t="shared" si="8"/>
        <v>10576.8</v>
      </c>
    </row>
    <row r="25" spans="1:18">
      <c r="A25" s="65">
        <v>3</v>
      </c>
      <c r="B25" s="198" t="s">
        <v>229</v>
      </c>
      <c r="C25" s="12" t="s">
        <v>203</v>
      </c>
      <c r="D25" s="12">
        <v>1</v>
      </c>
      <c r="E25" s="243">
        <f>439.58*2</f>
        <v>879.16</v>
      </c>
      <c r="F25" s="159">
        <f t="shared" si="0"/>
        <v>879.16</v>
      </c>
      <c r="G25" s="165">
        <f t="shared" si="1"/>
        <v>1.8</v>
      </c>
      <c r="H25" s="159">
        <f t="shared" si="2"/>
        <v>1582.4880000000001</v>
      </c>
      <c r="I25" s="159">
        <f t="shared" si="3"/>
        <v>2461.6480000000001</v>
      </c>
      <c r="J25" s="127">
        <f t="shared" si="5"/>
        <v>29539.776000000002</v>
      </c>
      <c r="K25" s="95"/>
      <c r="L25" s="201" t="s">
        <v>396</v>
      </c>
      <c r="M25" s="241">
        <v>2</v>
      </c>
      <c r="N25" s="241">
        <v>600</v>
      </c>
      <c r="O25" s="241">
        <v>600</v>
      </c>
      <c r="P25" s="240">
        <f t="shared" si="6"/>
        <v>1200</v>
      </c>
      <c r="Q25" s="240">
        <f t="shared" si="7"/>
        <v>14400</v>
      </c>
      <c r="R25" s="111">
        <f t="shared" si="8"/>
        <v>1200</v>
      </c>
    </row>
    <row r="26" spans="1:18">
      <c r="A26" s="65">
        <v>3</v>
      </c>
      <c r="B26" s="198" t="s">
        <v>224</v>
      </c>
      <c r="C26" s="12" t="s">
        <v>203</v>
      </c>
      <c r="D26" s="12">
        <v>1</v>
      </c>
      <c r="E26" s="243">
        <f>550*2</f>
        <v>1100</v>
      </c>
      <c r="F26" s="159">
        <f t="shared" si="0"/>
        <v>1100</v>
      </c>
      <c r="G26" s="165">
        <f t="shared" si="1"/>
        <v>1.8</v>
      </c>
      <c r="H26" s="159">
        <f t="shared" si="2"/>
        <v>1980</v>
      </c>
      <c r="I26" s="159">
        <f t="shared" si="3"/>
        <v>3080</v>
      </c>
      <c r="J26" s="127">
        <f t="shared" si="5"/>
        <v>36960</v>
      </c>
      <c r="K26" s="95"/>
      <c r="L26" s="201" t="s">
        <v>397</v>
      </c>
      <c r="M26" s="201">
        <f t="shared" ref="M26:P26" si="9">SUM(M20:M25)</f>
        <v>30</v>
      </c>
      <c r="N26" s="201">
        <f>SUM(N20:N25)</f>
        <v>21511.61</v>
      </c>
      <c r="O26" s="201">
        <f t="shared" si="9"/>
        <v>22047.86</v>
      </c>
      <c r="P26" s="201">
        <f t="shared" si="9"/>
        <v>44095.72</v>
      </c>
      <c r="Q26" s="201">
        <f>SUM(Q20:Q25)</f>
        <v>529148.6399999999</v>
      </c>
      <c r="R26" s="201">
        <f>SUM(R20:R25)</f>
        <v>43559.47</v>
      </c>
    </row>
    <row r="27" spans="1:18">
      <c r="A27" s="65">
        <v>3</v>
      </c>
      <c r="B27" s="198" t="s">
        <v>225</v>
      </c>
      <c r="C27" s="12" t="s">
        <v>203</v>
      </c>
      <c r="D27" s="12">
        <v>1</v>
      </c>
      <c r="E27" s="243">
        <f>500*2</f>
        <v>1000</v>
      </c>
      <c r="F27" s="159">
        <f t="shared" si="0"/>
        <v>1000</v>
      </c>
      <c r="G27" s="165">
        <f t="shared" si="1"/>
        <v>1.8</v>
      </c>
      <c r="H27" s="159">
        <f t="shared" si="2"/>
        <v>1800</v>
      </c>
      <c r="I27" s="159">
        <f t="shared" si="3"/>
        <v>2800</v>
      </c>
      <c r="J27" s="127">
        <f t="shared" si="5"/>
        <v>33600</v>
      </c>
      <c r="K27" s="95"/>
      <c r="L27" s="201" t="s">
        <v>399</v>
      </c>
      <c r="M27" s="201">
        <v>30</v>
      </c>
      <c r="N27" s="201">
        <v>342.7</v>
      </c>
      <c r="O27" s="201">
        <v>2994.91</v>
      </c>
      <c r="P27" s="201"/>
      <c r="Q27" s="201"/>
    </row>
    <row r="28" spans="1:18">
      <c r="A28" s="65">
        <v>4</v>
      </c>
      <c r="B28" s="198" t="s">
        <v>226</v>
      </c>
      <c r="C28" s="12" t="s">
        <v>203</v>
      </c>
      <c r="D28" s="12">
        <v>2</v>
      </c>
      <c r="E28" s="243">
        <f>459.58*2</f>
        <v>919.16</v>
      </c>
      <c r="F28" s="159">
        <f t="shared" si="0"/>
        <v>1838.32</v>
      </c>
      <c r="G28" s="165">
        <f t="shared" si="1"/>
        <v>1.8</v>
      </c>
      <c r="H28" s="159">
        <f t="shared" si="2"/>
        <v>1654.4880000000001</v>
      </c>
      <c r="I28" s="159">
        <f t="shared" si="3"/>
        <v>5147.2960000000003</v>
      </c>
      <c r="J28" s="127">
        <f t="shared" si="5"/>
        <v>61767.552000000003</v>
      </c>
      <c r="K28" s="95"/>
    </row>
    <row r="29" spans="1:18">
      <c r="A29" s="65">
        <v>3</v>
      </c>
      <c r="B29" s="198" t="s">
        <v>263</v>
      </c>
      <c r="C29" s="12" t="s">
        <v>203</v>
      </c>
      <c r="D29" s="12">
        <v>1</v>
      </c>
      <c r="E29" s="243">
        <f>675*2</f>
        <v>1350</v>
      </c>
      <c r="F29" s="159">
        <f t="shared" si="0"/>
        <v>1350</v>
      </c>
      <c r="G29" s="165">
        <f t="shared" si="1"/>
        <v>1.8</v>
      </c>
      <c r="H29" s="159">
        <f t="shared" si="2"/>
        <v>2430</v>
      </c>
      <c r="I29" s="159">
        <f t="shared" si="3"/>
        <v>3780</v>
      </c>
      <c r="J29" s="127">
        <f>I29*$E$47</f>
        <v>45360</v>
      </c>
      <c r="K29" s="95"/>
    </row>
    <row r="30" spans="1:18">
      <c r="A30" s="65">
        <v>3</v>
      </c>
      <c r="B30" s="198" t="s">
        <v>253</v>
      </c>
      <c r="C30" s="12" t="s">
        <v>204</v>
      </c>
      <c r="D30" s="12">
        <v>2</v>
      </c>
      <c r="E30" s="243">
        <f>300*2</f>
        <v>600</v>
      </c>
      <c r="F30" s="159">
        <f t="shared" si="0"/>
        <v>1200</v>
      </c>
      <c r="G30" s="165">
        <f t="shared" si="1"/>
        <v>1.8</v>
      </c>
      <c r="H30" s="159">
        <f t="shared" si="2"/>
        <v>1080</v>
      </c>
      <c r="I30" s="159">
        <f t="shared" si="3"/>
        <v>3360</v>
      </c>
      <c r="J30" s="127">
        <f>I30*$E$49</f>
        <v>10080</v>
      </c>
      <c r="K30" s="95"/>
    </row>
    <row r="31" spans="1:18" s="110" customFormat="1">
      <c r="A31" s="7"/>
      <c r="B31" s="66" t="s">
        <v>162</v>
      </c>
      <c r="C31" s="8"/>
      <c r="D31" s="8">
        <f>SUM(D8:D30)</f>
        <v>31</v>
      </c>
      <c r="E31" s="131">
        <f>SUM(E8:E30)</f>
        <v>32858.979999999996</v>
      </c>
      <c r="F31" s="131">
        <f>SUM(F8:F30)</f>
        <v>40008.46</v>
      </c>
      <c r="G31" s="8"/>
      <c r="H31" s="131">
        <f>SUM(H8:H30)</f>
        <v>59146.163999999997</v>
      </c>
      <c r="I31" s="131">
        <f>SUM(I8:I30)</f>
        <v>112023.68799999999</v>
      </c>
      <c r="J31" s="131">
        <f>SUM(J8:J30)</f>
        <v>1314044.2559999998</v>
      </c>
      <c r="K31" s="115"/>
    </row>
    <row r="32" spans="1:18">
      <c r="B32" s="95"/>
      <c r="G32" s="5"/>
      <c r="H32" s="5"/>
      <c r="I32" s="5"/>
    </row>
    <row r="33" spans="1:11" ht="47.25">
      <c r="C33" s="162" t="s">
        <v>200</v>
      </c>
      <c r="D33" s="161" t="s">
        <v>249</v>
      </c>
      <c r="E33" s="15" t="s">
        <v>37</v>
      </c>
      <c r="F33" s="15" t="s">
        <v>202</v>
      </c>
      <c r="H33" s="108"/>
      <c r="I33" s="200"/>
      <c r="J33" s="108"/>
    </row>
    <row r="34" spans="1:11">
      <c r="A34" s="65">
        <v>1</v>
      </c>
      <c r="B34" s="12" t="s">
        <v>205</v>
      </c>
      <c r="C34" s="11">
        <f>SUMIF($A$8:$A$30,A34,$D$8:$D$30)</f>
        <v>6</v>
      </c>
      <c r="D34" s="127">
        <f>SUMIF($A$8:$A$30,A34,$H$8:$H$30)</f>
        <v>24864.840000000004</v>
      </c>
      <c r="E34" s="127">
        <f>SUMIF($A$8:$A$30,A34,$I$8:$I$30)</f>
        <v>38678.639999999999</v>
      </c>
      <c r="F34" s="127">
        <f>SUMIF($A$8:$A$30,A34,$J$8:$J$30)</f>
        <v>464143.68</v>
      </c>
      <c r="H34" s="108"/>
      <c r="I34" s="200"/>
      <c r="J34" s="108"/>
    </row>
    <row r="35" spans="1:11">
      <c r="A35" s="65">
        <v>2</v>
      </c>
      <c r="B35" s="12" t="s">
        <v>206</v>
      </c>
      <c r="C35" s="11">
        <f>SUMIF($A$8:$A$30,A35,$D$8:$D$30)</f>
        <v>6</v>
      </c>
      <c r="D35" s="127">
        <f>SUMIF($A$8:$A$30,A35,$H$8:$H$30)</f>
        <v>14944.320000000002</v>
      </c>
      <c r="E35" s="127">
        <f>SUMIF($A$8:$A$30,A35,$I$8:$I$30)</f>
        <v>23246.720000000001</v>
      </c>
      <c r="F35" s="127">
        <f>SUMIF($A$8:$A$30,A35,$J$8:$J$30)</f>
        <v>278960.64000000001</v>
      </c>
      <c r="H35" s="108"/>
      <c r="I35" s="200"/>
      <c r="J35" s="108"/>
    </row>
    <row r="36" spans="1:11">
      <c r="A36" s="65">
        <v>3</v>
      </c>
      <c r="B36" s="12" t="s">
        <v>207</v>
      </c>
      <c r="C36" s="11">
        <f>SUMIF($A$8:$A$30,A36,$D$8:$D$30)</f>
        <v>11</v>
      </c>
      <c r="D36" s="127">
        <f>SUMIF($A$8:$A$30,A36,$H$8:$H$30)</f>
        <v>14397.227999999999</v>
      </c>
      <c r="E36" s="127">
        <f>SUMIF($A$8:$A$30,A36,$I$8:$I$30)</f>
        <v>29619.688000000002</v>
      </c>
      <c r="F36" s="127">
        <f>SUMIF($A$8:$A$30,A36,$J$8:$J$30)</f>
        <v>325196.25600000005</v>
      </c>
      <c r="H36" s="108"/>
      <c r="I36" s="200"/>
      <c r="J36" s="108"/>
    </row>
    <row r="37" spans="1:11">
      <c r="A37" s="65">
        <v>4</v>
      </c>
      <c r="B37" s="12" t="s">
        <v>208</v>
      </c>
      <c r="C37" s="11">
        <f>SUMIF($A$8:$A$30,A37,$D$8:$D$30)</f>
        <v>8</v>
      </c>
      <c r="D37" s="127">
        <f>SUMIF($A$8:$A$30,A37,$H$8:$H$30)</f>
        <v>4939.7759999999998</v>
      </c>
      <c r="E37" s="127">
        <f>SUMIF($A$8:$A$30,A37,$I$8:$I$30)</f>
        <v>20478.64</v>
      </c>
      <c r="F37" s="127">
        <f>SUMIF($A$8:$A$30,A37,$J$8:$J$30)</f>
        <v>245743.67999999996</v>
      </c>
      <c r="H37" s="108"/>
      <c r="I37" s="200"/>
      <c r="J37" s="108"/>
    </row>
    <row r="38" spans="1:11" s="110" customFormat="1">
      <c r="A38" s="7"/>
      <c r="B38" s="66" t="s">
        <v>162</v>
      </c>
      <c r="C38" s="13">
        <f>SUM(C34:C37)</f>
        <v>31</v>
      </c>
      <c r="D38" s="131">
        <f>SUM(D34:D37)</f>
        <v>59146.164000000004</v>
      </c>
      <c r="E38" s="131">
        <f>SUM(E34:E37)</f>
        <v>112023.68800000001</v>
      </c>
      <c r="F38" s="131">
        <f>SUM(F34:F37)</f>
        <v>1314044.2560000001</v>
      </c>
      <c r="G38" s="2"/>
      <c r="I38" s="201"/>
    </row>
    <row r="39" spans="1:11">
      <c r="G39" s="5"/>
      <c r="H39" s="5"/>
      <c r="I39" s="5"/>
    </row>
    <row r="40" spans="1:11" ht="31.5">
      <c r="D40" s="162" t="s">
        <v>200</v>
      </c>
      <c r="E40" s="164" t="s">
        <v>298</v>
      </c>
      <c r="F40" s="164" t="s">
        <v>299</v>
      </c>
      <c r="G40" s="15" t="s">
        <v>300</v>
      </c>
      <c r="H40" s="15" t="s">
        <v>202</v>
      </c>
      <c r="J40" s="108"/>
      <c r="K40" s="200"/>
    </row>
    <row r="41" spans="1:11">
      <c r="B41" s="9" t="s">
        <v>209</v>
      </c>
      <c r="C41" s="65" t="s">
        <v>203</v>
      </c>
      <c r="D41" s="138">
        <f>SUMIF(C8:C30,C41,D8:D30)</f>
        <v>29</v>
      </c>
      <c r="E41" s="127">
        <f>SUMIF(C8:C30,C41,F8:F30)</f>
        <v>38808.46</v>
      </c>
      <c r="F41" s="127">
        <f>SUMIF(C8:C30,C41,H8:H30)</f>
        <v>58066.163999999997</v>
      </c>
      <c r="G41" s="127">
        <f>SUMIF(C8:C30,C41,I8:I30)</f>
        <v>108663.68799999999</v>
      </c>
      <c r="H41" s="127">
        <f>SUMIF(C8:C30,C41,J8:J30)</f>
        <v>1303964.2559999998</v>
      </c>
      <c r="J41" s="108"/>
      <c r="K41" s="200"/>
    </row>
    <row r="42" spans="1:11">
      <c r="B42" s="9" t="s">
        <v>210</v>
      </c>
      <c r="C42" s="65" t="s">
        <v>204</v>
      </c>
      <c r="D42" s="138">
        <f>SUMIF(C8:C30,C42,D8:D30)</f>
        <v>2</v>
      </c>
      <c r="E42" s="127">
        <f>SUMIF(C8:C30,C42,F8:F30)</f>
        <v>1200</v>
      </c>
      <c r="F42" s="127">
        <f>SUMIF(C8:C30,C42,H8:H30)</f>
        <v>1080</v>
      </c>
      <c r="G42" s="127">
        <f>SUMIF(C8:C30,C42,I8:I30)</f>
        <v>3360</v>
      </c>
      <c r="H42" s="127">
        <f>SUMIF(C8:C30,C42,J8:J30)</f>
        <v>10080</v>
      </c>
      <c r="J42" s="108"/>
      <c r="K42" s="200"/>
    </row>
    <row r="43" spans="1:11" s="110" customFormat="1">
      <c r="A43" s="2"/>
      <c r="B43" s="66" t="s">
        <v>162</v>
      </c>
      <c r="C43" s="7"/>
      <c r="D43" s="137">
        <f>SUM(D41:D42)</f>
        <v>31</v>
      </c>
      <c r="E43" s="131">
        <f>SUM(E41:E42)</f>
        <v>40008.46</v>
      </c>
      <c r="F43" s="131">
        <f>SUM(F41:F42)</f>
        <v>59146.163999999997</v>
      </c>
      <c r="G43" s="131">
        <f>SUM(G41:G42)</f>
        <v>112023.68799999999</v>
      </c>
      <c r="H43" s="131">
        <f>SUM(H41:H42)</f>
        <v>1314044.2559999998</v>
      </c>
      <c r="I43" s="2"/>
      <c r="K43" s="201"/>
    </row>
    <row r="44" spans="1:11">
      <c r="E44" s="5"/>
      <c r="F44" s="5"/>
      <c r="H44" s="108"/>
      <c r="I44" s="108"/>
      <c r="J44" s="200"/>
    </row>
    <row r="45" spans="1:11">
      <c r="B45" s="2" t="s">
        <v>95</v>
      </c>
      <c r="H45" s="108"/>
      <c r="I45" s="108"/>
      <c r="J45" s="200"/>
    </row>
    <row r="46" spans="1:11">
      <c r="B46" s="3" t="s">
        <v>248</v>
      </c>
      <c r="E46" s="4">
        <v>1.8</v>
      </c>
      <c r="F46" s="4"/>
      <c r="G46" s="3" t="s">
        <v>252</v>
      </c>
    </row>
    <row r="47" spans="1:11">
      <c r="B47" s="3" t="s">
        <v>23</v>
      </c>
      <c r="E47" s="3">
        <v>12</v>
      </c>
      <c r="G47" s="3" t="s">
        <v>24</v>
      </c>
    </row>
    <row r="48" spans="1:11">
      <c r="B48" s="3" t="s">
        <v>211</v>
      </c>
      <c r="E48" s="4">
        <v>0.2</v>
      </c>
      <c r="F48" s="4"/>
      <c r="G48" s="3" t="s">
        <v>212</v>
      </c>
    </row>
    <row r="49" spans="2:5">
      <c r="B49" s="3" t="s">
        <v>254</v>
      </c>
      <c r="E49" s="3">
        <v>3</v>
      </c>
    </row>
  </sheetData>
  <mergeCells count="3">
    <mergeCell ref="A3:I3"/>
    <mergeCell ref="J6:J7"/>
    <mergeCell ref="E6:I6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11" workbookViewId="0">
      <selection activeCell="G32" sqref="G32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6" style="3" customWidth="1"/>
    <col min="4" max="4" width="9.85546875" style="95" bestFit="1" customWidth="1"/>
    <col min="5" max="5" width="17.5703125" style="3" customWidth="1"/>
    <col min="6" max="6" width="17.5703125" style="3" bestFit="1" customWidth="1"/>
    <col min="7" max="7" width="20.5703125" style="3" customWidth="1"/>
    <col min="8" max="8" width="13.28515625" style="3" customWidth="1"/>
    <col min="9" max="9" width="13.7109375" style="3" customWidth="1"/>
    <col min="10" max="10" width="20.28515625" style="95" customWidth="1"/>
    <col min="11" max="11" width="10.7109375" style="108" bestFit="1" customWidth="1"/>
    <col min="12" max="12" width="20.140625" style="108" customWidth="1"/>
    <col min="13" max="254" width="11.5703125" style="108"/>
    <col min="255" max="255" width="7.85546875" style="108" customWidth="1"/>
    <col min="256" max="256" width="24.5703125" style="108" customWidth="1"/>
    <col min="257" max="257" width="3.7109375" style="108" customWidth="1"/>
    <col min="258" max="258" width="4.85546875" style="108" customWidth="1"/>
    <col min="259" max="259" width="0.85546875" style="108" customWidth="1"/>
    <col min="260" max="260" width="9" style="108" customWidth="1"/>
    <col min="261" max="261" width="10" style="108" customWidth="1"/>
    <col min="262" max="262" width="0.85546875" style="108" customWidth="1"/>
    <col min="263" max="263" width="12.42578125" style="108" customWidth="1"/>
    <col min="264" max="264" width="0.85546875" style="108" customWidth="1"/>
    <col min="265" max="265" width="13.7109375" style="108" customWidth="1"/>
    <col min="266" max="510" width="11.5703125" style="108"/>
    <col min="511" max="511" width="7.85546875" style="108" customWidth="1"/>
    <col min="512" max="512" width="24.5703125" style="108" customWidth="1"/>
    <col min="513" max="513" width="3.7109375" style="108" customWidth="1"/>
    <col min="514" max="514" width="4.85546875" style="108" customWidth="1"/>
    <col min="515" max="515" width="0.85546875" style="108" customWidth="1"/>
    <col min="516" max="516" width="9" style="108" customWidth="1"/>
    <col min="517" max="517" width="10" style="108" customWidth="1"/>
    <col min="518" max="518" width="0.85546875" style="108" customWidth="1"/>
    <col min="519" max="519" width="12.42578125" style="108" customWidth="1"/>
    <col min="520" max="520" width="0.85546875" style="108" customWidth="1"/>
    <col min="521" max="521" width="13.7109375" style="108" customWidth="1"/>
    <col min="522" max="766" width="11.5703125" style="108"/>
    <col min="767" max="767" width="7.85546875" style="108" customWidth="1"/>
    <col min="768" max="768" width="24.5703125" style="108" customWidth="1"/>
    <col min="769" max="769" width="3.7109375" style="108" customWidth="1"/>
    <col min="770" max="770" width="4.85546875" style="108" customWidth="1"/>
    <col min="771" max="771" width="0.85546875" style="108" customWidth="1"/>
    <col min="772" max="772" width="9" style="108" customWidth="1"/>
    <col min="773" max="773" width="10" style="108" customWidth="1"/>
    <col min="774" max="774" width="0.85546875" style="108" customWidth="1"/>
    <col min="775" max="775" width="12.42578125" style="108" customWidth="1"/>
    <col min="776" max="776" width="0.85546875" style="108" customWidth="1"/>
    <col min="777" max="777" width="13.7109375" style="108" customWidth="1"/>
    <col min="778" max="1022" width="11.5703125" style="108"/>
    <col min="1023" max="1023" width="7.85546875" style="108" customWidth="1"/>
    <col min="1024" max="1024" width="24.5703125" style="108" customWidth="1"/>
    <col min="1025" max="1025" width="3.7109375" style="108" customWidth="1"/>
    <col min="1026" max="1026" width="4.85546875" style="108" customWidth="1"/>
    <col min="1027" max="1027" width="0.85546875" style="108" customWidth="1"/>
    <col min="1028" max="1028" width="9" style="108" customWidth="1"/>
    <col min="1029" max="1029" width="10" style="108" customWidth="1"/>
    <col min="1030" max="1030" width="0.85546875" style="108" customWidth="1"/>
    <col min="1031" max="1031" width="12.42578125" style="108" customWidth="1"/>
    <col min="1032" max="1032" width="0.85546875" style="108" customWidth="1"/>
    <col min="1033" max="1033" width="13.7109375" style="108" customWidth="1"/>
    <col min="1034" max="1278" width="11.5703125" style="108"/>
    <col min="1279" max="1279" width="7.85546875" style="108" customWidth="1"/>
    <col min="1280" max="1280" width="24.5703125" style="108" customWidth="1"/>
    <col min="1281" max="1281" width="3.7109375" style="108" customWidth="1"/>
    <col min="1282" max="1282" width="4.85546875" style="108" customWidth="1"/>
    <col min="1283" max="1283" width="0.85546875" style="108" customWidth="1"/>
    <col min="1284" max="1284" width="9" style="108" customWidth="1"/>
    <col min="1285" max="1285" width="10" style="108" customWidth="1"/>
    <col min="1286" max="1286" width="0.85546875" style="108" customWidth="1"/>
    <col min="1287" max="1287" width="12.42578125" style="108" customWidth="1"/>
    <col min="1288" max="1288" width="0.85546875" style="108" customWidth="1"/>
    <col min="1289" max="1289" width="13.7109375" style="108" customWidth="1"/>
    <col min="1290" max="1534" width="11.5703125" style="108"/>
    <col min="1535" max="1535" width="7.85546875" style="108" customWidth="1"/>
    <col min="1536" max="1536" width="24.5703125" style="108" customWidth="1"/>
    <col min="1537" max="1537" width="3.7109375" style="108" customWidth="1"/>
    <col min="1538" max="1538" width="4.85546875" style="108" customWidth="1"/>
    <col min="1539" max="1539" width="0.85546875" style="108" customWidth="1"/>
    <col min="1540" max="1540" width="9" style="108" customWidth="1"/>
    <col min="1541" max="1541" width="10" style="108" customWidth="1"/>
    <col min="1542" max="1542" width="0.85546875" style="108" customWidth="1"/>
    <col min="1543" max="1543" width="12.42578125" style="108" customWidth="1"/>
    <col min="1544" max="1544" width="0.85546875" style="108" customWidth="1"/>
    <col min="1545" max="1545" width="13.7109375" style="108" customWidth="1"/>
    <col min="1546" max="1790" width="11.5703125" style="108"/>
    <col min="1791" max="1791" width="7.85546875" style="108" customWidth="1"/>
    <col min="1792" max="1792" width="24.5703125" style="108" customWidth="1"/>
    <col min="1793" max="1793" width="3.7109375" style="108" customWidth="1"/>
    <col min="1794" max="1794" width="4.85546875" style="108" customWidth="1"/>
    <col min="1795" max="1795" width="0.85546875" style="108" customWidth="1"/>
    <col min="1796" max="1796" width="9" style="108" customWidth="1"/>
    <col min="1797" max="1797" width="10" style="108" customWidth="1"/>
    <col min="1798" max="1798" width="0.85546875" style="108" customWidth="1"/>
    <col min="1799" max="1799" width="12.42578125" style="108" customWidth="1"/>
    <col min="1800" max="1800" width="0.85546875" style="108" customWidth="1"/>
    <col min="1801" max="1801" width="13.7109375" style="108" customWidth="1"/>
    <col min="1802" max="2046" width="11.5703125" style="108"/>
    <col min="2047" max="2047" width="7.85546875" style="108" customWidth="1"/>
    <col min="2048" max="2048" width="24.5703125" style="108" customWidth="1"/>
    <col min="2049" max="2049" width="3.7109375" style="108" customWidth="1"/>
    <col min="2050" max="2050" width="4.85546875" style="108" customWidth="1"/>
    <col min="2051" max="2051" width="0.85546875" style="108" customWidth="1"/>
    <col min="2052" max="2052" width="9" style="108" customWidth="1"/>
    <col min="2053" max="2053" width="10" style="108" customWidth="1"/>
    <col min="2054" max="2054" width="0.85546875" style="108" customWidth="1"/>
    <col min="2055" max="2055" width="12.42578125" style="108" customWidth="1"/>
    <col min="2056" max="2056" width="0.85546875" style="108" customWidth="1"/>
    <col min="2057" max="2057" width="13.7109375" style="108" customWidth="1"/>
    <col min="2058" max="2302" width="11.5703125" style="108"/>
    <col min="2303" max="2303" width="7.85546875" style="108" customWidth="1"/>
    <col min="2304" max="2304" width="24.5703125" style="108" customWidth="1"/>
    <col min="2305" max="2305" width="3.7109375" style="108" customWidth="1"/>
    <col min="2306" max="2306" width="4.85546875" style="108" customWidth="1"/>
    <col min="2307" max="2307" width="0.85546875" style="108" customWidth="1"/>
    <col min="2308" max="2308" width="9" style="108" customWidth="1"/>
    <col min="2309" max="2309" width="10" style="108" customWidth="1"/>
    <col min="2310" max="2310" width="0.85546875" style="108" customWidth="1"/>
    <col min="2311" max="2311" width="12.42578125" style="108" customWidth="1"/>
    <col min="2312" max="2312" width="0.85546875" style="108" customWidth="1"/>
    <col min="2313" max="2313" width="13.7109375" style="108" customWidth="1"/>
    <col min="2314" max="2558" width="11.5703125" style="108"/>
    <col min="2559" max="2559" width="7.85546875" style="108" customWidth="1"/>
    <col min="2560" max="2560" width="24.5703125" style="108" customWidth="1"/>
    <col min="2561" max="2561" width="3.7109375" style="108" customWidth="1"/>
    <col min="2562" max="2562" width="4.85546875" style="108" customWidth="1"/>
    <col min="2563" max="2563" width="0.85546875" style="108" customWidth="1"/>
    <col min="2564" max="2564" width="9" style="108" customWidth="1"/>
    <col min="2565" max="2565" width="10" style="108" customWidth="1"/>
    <col min="2566" max="2566" width="0.85546875" style="108" customWidth="1"/>
    <col min="2567" max="2567" width="12.42578125" style="108" customWidth="1"/>
    <col min="2568" max="2568" width="0.85546875" style="108" customWidth="1"/>
    <col min="2569" max="2569" width="13.7109375" style="108" customWidth="1"/>
    <col min="2570" max="2814" width="11.5703125" style="108"/>
    <col min="2815" max="2815" width="7.85546875" style="108" customWidth="1"/>
    <col min="2816" max="2816" width="24.5703125" style="108" customWidth="1"/>
    <col min="2817" max="2817" width="3.7109375" style="108" customWidth="1"/>
    <col min="2818" max="2818" width="4.85546875" style="108" customWidth="1"/>
    <col min="2819" max="2819" width="0.85546875" style="108" customWidth="1"/>
    <col min="2820" max="2820" width="9" style="108" customWidth="1"/>
    <col min="2821" max="2821" width="10" style="108" customWidth="1"/>
    <col min="2822" max="2822" width="0.85546875" style="108" customWidth="1"/>
    <col min="2823" max="2823" width="12.42578125" style="108" customWidth="1"/>
    <col min="2824" max="2824" width="0.85546875" style="108" customWidth="1"/>
    <col min="2825" max="2825" width="13.7109375" style="108" customWidth="1"/>
    <col min="2826" max="3070" width="11.5703125" style="108"/>
    <col min="3071" max="3071" width="7.85546875" style="108" customWidth="1"/>
    <col min="3072" max="3072" width="24.5703125" style="108" customWidth="1"/>
    <col min="3073" max="3073" width="3.7109375" style="108" customWidth="1"/>
    <col min="3074" max="3074" width="4.85546875" style="108" customWidth="1"/>
    <col min="3075" max="3075" width="0.85546875" style="108" customWidth="1"/>
    <col min="3076" max="3076" width="9" style="108" customWidth="1"/>
    <col min="3077" max="3077" width="10" style="108" customWidth="1"/>
    <col min="3078" max="3078" width="0.85546875" style="108" customWidth="1"/>
    <col min="3079" max="3079" width="12.42578125" style="108" customWidth="1"/>
    <col min="3080" max="3080" width="0.85546875" style="108" customWidth="1"/>
    <col min="3081" max="3081" width="13.7109375" style="108" customWidth="1"/>
    <col min="3082" max="3326" width="11.5703125" style="108"/>
    <col min="3327" max="3327" width="7.85546875" style="108" customWidth="1"/>
    <col min="3328" max="3328" width="24.5703125" style="108" customWidth="1"/>
    <col min="3329" max="3329" width="3.7109375" style="108" customWidth="1"/>
    <col min="3330" max="3330" width="4.85546875" style="108" customWidth="1"/>
    <col min="3331" max="3331" width="0.85546875" style="108" customWidth="1"/>
    <col min="3332" max="3332" width="9" style="108" customWidth="1"/>
    <col min="3333" max="3333" width="10" style="108" customWidth="1"/>
    <col min="3334" max="3334" width="0.85546875" style="108" customWidth="1"/>
    <col min="3335" max="3335" width="12.42578125" style="108" customWidth="1"/>
    <col min="3336" max="3336" width="0.85546875" style="108" customWidth="1"/>
    <col min="3337" max="3337" width="13.7109375" style="108" customWidth="1"/>
    <col min="3338" max="3582" width="11.5703125" style="108"/>
    <col min="3583" max="3583" width="7.85546875" style="108" customWidth="1"/>
    <col min="3584" max="3584" width="24.5703125" style="108" customWidth="1"/>
    <col min="3585" max="3585" width="3.7109375" style="108" customWidth="1"/>
    <col min="3586" max="3586" width="4.85546875" style="108" customWidth="1"/>
    <col min="3587" max="3587" width="0.85546875" style="108" customWidth="1"/>
    <col min="3588" max="3588" width="9" style="108" customWidth="1"/>
    <col min="3589" max="3589" width="10" style="108" customWidth="1"/>
    <col min="3590" max="3590" width="0.85546875" style="108" customWidth="1"/>
    <col min="3591" max="3591" width="12.42578125" style="108" customWidth="1"/>
    <col min="3592" max="3592" width="0.85546875" style="108" customWidth="1"/>
    <col min="3593" max="3593" width="13.7109375" style="108" customWidth="1"/>
    <col min="3594" max="3838" width="11.5703125" style="108"/>
    <col min="3839" max="3839" width="7.85546875" style="108" customWidth="1"/>
    <col min="3840" max="3840" width="24.5703125" style="108" customWidth="1"/>
    <col min="3841" max="3841" width="3.7109375" style="108" customWidth="1"/>
    <col min="3842" max="3842" width="4.85546875" style="108" customWidth="1"/>
    <col min="3843" max="3843" width="0.85546875" style="108" customWidth="1"/>
    <col min="3844" max="3844" width="9" style="108" customWidth="1"/>
    <col min="3845" max="3845" width="10" style="108" customWidth="1"/>
    <col min="3846" max="3846" width="0.85546875" style="108" customWidth="1"/>
    <col min="3847" max="3847" width="12.42578125" style="108" customWidth="1"/>
    <col min="3848" max="3848" width="0.85546875" style="108" customWidth="1"/>
    <col min="3849" max="3849" width="13.7109375" style="108" customWidth="1"/>
    <col min="3850" max="4094" width="11.5703125" style="108"/>
    <col min="4095" max="4095" width="7.85546875" style="108" customWidth="1"/>
    <col min="4096" max="4096" width="24.5703125" style="108" customWidth="1"/>
    <col min="4097" max="4097" width="3.7109375" style="108" customWidth="1"/>
    <col min="4098" max="4098" width="4.85546875" style="108" customWidth="1"/>
    <col min="4099" max="4099" width="0.85546875" style="108" customWidth="1"/>
    <col min="4100" max="4100" width="9" style="108" customWidth="1"/>
    <col min="4101" max="4101" width="10" style="108" customWidth="1"/>
    <col min="4102" max="4102" width="0.85546875" style="108" customWidth="1"/>
    <col min="4103" max="4103" width="12.42578125" style="108" customWidth="1"/>
    <col min="4104" max="4104" width="0.85546875" style="108" customWidth="1"/>
    <col min="4105" max="4105" width="13.7109375" style="108" customWidth="1"/>
    <col min="4106" max="4350" width="11.5703125" style="108"/>
    <col min="4351" max="4351" width="7.85546875" style="108" customWidth="1"/>
    <col min="4352" max="4352" width="24.5703125" style="108" customWidth="1"/>
    <col min="4353" max="4353" width="3.7109375" style="108" customWidth="1"/>
    <col min="4354" max="4354" width="4.85546875" style="108" customWidth="1"/>
    <col min="4355" max="4355" width="0.85546875" style="108" customWidth="1"/>
    <col min="4356" max="4356" width="9" style="108" customWidth="1"/>
    <col min="4357" max="4357" width="10" style="108" customWidth="1"/>
    <col min="4358" max="4358" width="0.85546875" style="108" customWidth="1"/>
    <col min="4359" max="4359" width="12.42578125" style="108" customWidth="1"/>
    <col min="4360" max="4360" width="0.85546875" style="108" customWidth="1"/>
    <col min="4361" max="4361" width="13.7109375" style="108" customWidth="1"/>
    <col min="4362" max="4606" width="11.5703125" style="108"/>
    <col min="4607" max="4607" width="7.85546875" style="108" customWidth="1"/>
    <col min="4608" max="4608" width="24.5703125" style="108" customWidth="1"/>
    <col min="4609" max="4609" width="3.7109375" style="108" customWidth="1"/>
    <col min="4610" max="4610" width="4.85546875" style="108" customWidth="1"/>
    <col min="4611" max="4611" width="0.85546875" style="108" customWidth="1"/>
    <col min="4612" max="4612" width="9" style="108" customWidth="1"/>
    <col min="4613" max="4613" width="10" style="108" customWidth="1"/>
    <col min="4614" max="4614" width="0.85546875" style="108" customWidth="1"/>
    <col min="4615" max="4615" width="12.42578125" style="108" customWidth="1"/>
    <col min="4616" max="4616" width="0.85546875" style="108" customWidth="1"/>
    <col min="4617" max="4617" width="13.7109375" style="108" customWidth="1"/>
    <col min="4618" max="4862" width="11.5703125" style="108"/>
    <col min="4863" max="4863" width="7.85546875" style="108" customWidth="1"/>
    <col min="4864" max="4864" width="24.5703125" style="108" customWidth="1"/>
    <col min="4865" max="4865" width="3.7109375" style="108" customWidth="1"/>
    <col min="4866" max="4866" width="4.85546875" style="108" customWidth="1"/>
    <col min="4867" max="4867" width="0.85546875" style="108" customWidth="1"/>
    <col min="4868" max="4868" width="9" style="108" customWidth="1"/>
    <col min="4869" max="4869" width="10" style="108" customWidth="1"/>
    <col min="4870" max="4870" width="0.85546875" style="108" customWidth="1"/>
    <col min="4871" max="4871" width="12.42578125" style="108" customWidth="1"/>
    <col min="4872" max="4872" width="0.85546875" style="108" customWidth="1"/>
    <col min="4873" max="4873" width="13.7109375" style="108" customWidth="1"/>
    <col min="4874" max="5118" width="11.5703125" style="108"/>
    <col min="5119" max="5119" width="7.85546875" style="108" customWidth="1"/>
    <col min="5120" max="5120" width="24.5703125" style="108" customWidth="1"/>
    <col min="5121" max="5121" width="3.7109375" style="108" customWidth="1"/>
    <col min="5122" max="5122" width="4.85546875" style="108" customWidth="1"/>
    <col min="5123" max="5123" width="0.85546875" style="108" customWidth="1"/>
    <col min="5124" max="5124" width="9" style="108" customWidth="1"/>
    <col min="5125" max="5125" width="10" style="108" customWidth="1"/>
    <col min="5126" max="5126" width="0.85546875" style="108" customWidth="1"/>
    <col min="5127" max="5127" width="12.42578125" style="108" customWidth="1"/>
    <col min="5128" max="5128" width="0.85546875" style="108" customWidth="1"/>
    <col min="5129" max="5129" width="13.7109375" style="108" customWidth="1"/>
    <col min="5130" max="5374" width="11.5703125" style="108"/>
    <col min="5375" max="5375" width="7.85546875" style="108" customWidth="1"/>
    <col min="5376" max="5376" width="24.5703125" style="108" customWidth="1"/>
    <col min="5377" max="5377" width="3.7109375" style="108" customWidth="1"/>
    <col min="5378" max="5378" width="4.85546875" style="108" customWidth="1"/>
    <col min="5379" max="5379" width="0.85546875" style="108" customWidth="1"/>
    <col min="5380" max="5380" width="9" style="108" customWidth="1"/>
    <col min="5381" max="5381" width="10" style="108" customWidth="1"/>
    <col min="5382" max="5382" width="0.85546875" style="108" customWidth="1"/>
    <col min="5383" max="5383" width="12.42578125" style="108" customWidth="1"/>
    <col min="5384" max="5384" width="0.85546875" style="108" customWidth="1"/>
    <col min="5385" max="5385" width="13.7109375" style="108" customWidth="1"/>
    <col min="5386" max="5630" width="11.5703125" style="108"/>
    <col min="5631" max="5631" width="7.85546875" style="108" customWidth="1"/>
    <col min="5632" max="5632" width="24.5703125" style="108" customWidth="1"/>
    <col min="5633" max="5633" width="3.7109375" style="108" customWidth="1"/>
    <col min="5634" max="5634" width="4.85546875" style="108" customWidth="1"/>
    <col min="5635" max="5635" width="0.85546875" style="108" customWidth="1"/>
    <col min="5636" max="5636" width="9" style="108" customWidth="1"/>
    <col min="5637" max="5637" width="10" style="108" customWidth="1"/>
    <col min="5638" max="5638" width="0.85546875" style="108" customWidth="1"/>
    <col min="5639" max="5639" width="12.42578125" style="108" customWidth="1"/>
    <col min="5640" max="5640" width="0.85546875" style="108" customWidth="1"/>
    <col min="5641" max="5641" width="13.7109375" style="108" customWidth="1"/>
    <col min="5642" max="5886" width="11.5703125" style="108"/>
    <col min="5887" max="5887" width="7.85546875" style="108" customWidth="1"/>
    <col min="5888" max="5888" width="24.5703125" style="108" customWidth="1"/>
    <col min="5889" max="5889" width="3.7109375" style="108" customWidth="1"/>
    <col min="5890" max="5890" width="4.85546875" style="108" customWidth="1"/>
    <col min="5891" max="5891" width="0.85546875" style="108" customWidth="1"/>
    <col min="5892" max="5892" width="9" style="108" customWidth="1"/>
    <col min="5893" max="5893" width="10" style="108" customWidth="1"/>
    <col min="5894" max="5894" width="0.85546875" style="108" customWidth="1"/>
    <col min="5895" max="5895" width="12.42578125" style="108" customWidth="1"/>
    <col min="5896" max="5896" width="0.85546875" style="108" customWidth="1"/>
    <col min="5897" max="5897" width="13.7109375" style="108" customWidth="1"/>
    <col min="5898" max="6142" width="11.5703125" style="108"/>
    <col min="6143" max="6143" width="7.85546875" style="108" customWidth="1"/>
    <col min="6144" max="6144" width="24.5703125" style="108" customWidth="1"/>
    <col min="6145" max="6145" width="3.7109375" style="108" customWidth="1"/>
    <col min="6146" max="6146" width="4.85546875" style="108" customWidth="1"/>
    <col min="6147" max="6147" width="0.85546875" style="108" customWidth="1"/>
    <col min="6148" max="6148" width="9" style="108" customWidth="1"/>
    <col min="6149" max="6149" width="10" style="108" customWidth="1"/>
    <col min="6150" max="6150" width="0.85546875" style="108" customWidth="1"/>
    <col min="6151" max="6151" width="12.42578125" style="108" customWidth="1"/>
    <col min="6152" max="6152" width="0.85546875" style="108" customWidth="1"/>
    <col min="6153" max="6153" width="13.7109375" style="108" customWidth="1"/>
    <col min="6154" max="6398" width="11.5703125" style="108"/>
    <col min="6399" max="6399" width="7.85546875" style="108" customWidth="1"/>
    <col min="6400" max="6400" width="24.5703125" style="108" customWidth="1"/>
    <col min="6401" max="6401" width="3.7109375" style="108" customWidth="1"/>
    <col min="6402" max="6402" width="4.85546875" style="108" customWidth="1"/>
    <col min="6403" max="6403" width="0.85546875" style="108" customWidth="1"/>
    <col min="6404" max="6404" width="9" style="108" customWidth="1"/>
    <col min="6405" max="6405" width="10" style="108" customWidth="1"/>
    <col min="6406" max="6406" width="0.85546875" style="108" customWidth="1"/>
    <col min="6407" max="6407" width="12.42578125" style="108" customWidth="1"/>
    <col min="6408" max="6408" width="0.85546875" style="108" customWidth="1"/>
    <col min="6409" max="6409" width="13.7109375" style="108" customWidth="1"/>
    <col min="6410" max="6654" width="11.5703125" style="108"/>
    <col min="6655" max="6655" width="7.85546875" style="108" customWidth="1"/>
    <col min="6656" max="6656" width="24.5703125" style="108" customWidth="1"/>
    <col min="6657" max="6657" width="3.7109375" style="108" customWidth="1"/>
    <col min="6658" max="6658" width="4.85546875" style="108" customWidth="1"/>
    <col min="6659" max="6659" width="0.85546875" style="108" customWidth="1"/>
    <col min="6660" max="6660" width="9" style="108" customWidth="1"/>
    <col min="6661" max="6661" width="10" style="108" customWidth="1"/>
    <col min="6662" max="6662" width="0.85546875" style="108" customWidth="1"/>
    <col min="6663" max="6663" width="12.42578125" style="108" customWidth="1"/>
    <col min="6664" max="6664" width="0.85546875" style="108" customWidth="1"/>
    <col min="6665" max="6665" width="13.7109375" style="108" customWidth="1"/>
    <col min="6666" max="6910" width="11.5703125" style="108"/>
    <col min="6911" max="6911" width="7.85546875" style="108" customWidth="1"/>
    <col min="6912" max="6912" width="24.5703125" style="108" customWidth="1"/>
    <col min="6913" max="6913" width="3.7109375" style="108" customWidth="1"/>
    <col min="6914" max="6914" width="4.85546875" style="108" customWidth="1"/>
    <col min="6915" max="6915" width="0.85546875" style="108" customWidth="1"/>
    <col min="6916" max="6916" width="9" style="108" customWidth="1"/>
    <col min="6917" max="6917" width="10" style="108" customWidth="1"/>
    <col min="6918" max="6918" width="0.85546875" style="108" customWidth="1"/>
    <col min="6919" max="6919" width="12.42578125" style="108" customWidth="1"/>
    <col min="6920" max="6920" width="0.85546875" style="108" customWidth="1"/>
    <col min="6921" max="6921" width="13.7109375" style="108" customWidth="1"/>
    <col min="6922" max="7166" width="11.5703125" style="108"/>
    <col min="7167" max="7167" width="7.85546875" style="108" customWidth="1"/>
    <col min="7168" max="7168" width="24.5703125" style="108" customWidth="1"/>
    <col min="7169" max="7169" width="3.7109375" style="108" customWidth="1"/>
    <col min="7170" max="7170" width="4.85546875" style="108" customWidth="1"/>
    <col min="7171" max="7171" width="0.85546875" style="108" customWidth="1"/>
    <col min="7172" max="7172" width="9" style="108" customWidth="1"/>
    <col min="7173" max="7173" width="10" style="108" customWidth="1"/>
    <col min="7174" max="7174" width="0.85546875" style="108" customWidth="1"/>
    <col min="7175" max="7175" width="12.42578125" style="108" customWidth="1"/>
    <col min="7176" max="7176" width="0.85546875" style="108" customWidth="1"/>
    <col min="7177" max="7177" width="13.7109375" style="108" customWidth="1"/>
    <col min="7178" max="7422" width="11.5703125" style="108"/>
    <col min="7423" max="7423" width="7.85546875" style="108" customWidth="1"/>
    <col min="7424" max="7424" width="24.5703125" style="108" customWidth="1"/>
    <col min="7425" max="7425" width="3.7109375" style="108" customWidth="1"/>
    <col min="7426" max="7426" width="4.85546875" style="108" customWidth="1"/>
    <col min="7427" max="7427" width="0.85546875" style="108" customWidth="1"/>
    <col min="7428" max="7428" width="9" style="108" customWidth="1"/>
    <col min="7429" max="7429" width="10" style="108" customWidth="1"/>
    <col min="7430" max="7430" width="0.85546875" style="108" customWidth="1"/>
    <col min="7431" max="7431" width="12.42578125" style="108" customWidth="1"/>
    <col min="7432" max="7432" width="0.85546875" style="108" customWidth="1"/>
    <col min="7433" max="7433" width="13.7109375" style="108" customWidth="1"/>
    <col min="7434" max="7678" width="11.5703125" style="108"/>
    <col min="7679" max="7679" width="7.85546875" style="108" customWidth="1"/>
    <col min="7680" max="7680" width="24.5703125" style="108" customWidth="1"/>
    <col min="7681" max="7681" width="3.7109375" style="108" customWidth="1"/>
    <col min="7682" max="7682" width="4.85546875" style="108" customWidth="1"/>
    <col min="7683" max="7683" width="0.85546875" style="108" customWidth="1"/>
    <col min="7684" max="7684" width="9" style="108" customWidth="1"/>
    <col min="7685" max="7685" width="10" style="108" customWidth="1"/>
    <col min="7686" max="7686" width="0.85546875" style="108" customWidth="1"/>
    <col min="7687" max="7687" width="12.42578125" style="108" customWidth="1"/>
    <col min="7688" max="7688" width="0.85546875" style="108" customWidth="1"/>
    <col min="7689" max="7689" width="13.7109375" style="108" customWidth="1"/>
    <col min="7690" max="7934" width="11.5703125" style="108"/>
    <col min="7935" max="7935" width="7.85546875" style="108" customWidth="1"/>
    <col min="7936" max="7936" width="24.5703125" style="108" customWidth="1"/>
    <col min="7937" max="7937" width="3.7109375" style="108" customWidth="1"/>
    <col min="7938" max="7938" width="4.85546875" style="108" customWidth="1"/>
    <col min="7939" max="7939" width="0.85546875" style="108" customWidth="1"/>
    <col min="7940" max="7940" width="9" style="108" customWidth="1"/>
    <col min="7941" max="7941" width="10" style="108" customWidth="1"/>
    <col min="7942" max="7942" width="0.85546875" style="108" customWidth="1"/>
    <col min="7943" max="7943" width="12.42578125" style="108" customWidth="1"/>
    <col min="7944" max="7944" width="0.85546875" style="108" customWidth="1"/>
    <col min="7945" max="7945" width="13.7109375" style="108" customWidth="1"/>
    <col min="7946" max="8190" width="11.5703125" style="108"/>
    <col min="8191" max="8191" width="7.85546875" style="108" customWidth="1"/>
    <col min="8192" max="8192" width="24.5703125" style="108" customWidth="1"/>
    <col min="8193" max="8193" width="3.7109375" style="108" customWidth="1"/>
    <col min="8194" max="8194" width="4.85546875" style="108" customWidth="1"/>
    <col min="8195" max="8195" width="0.85546875" style="108" customWidth="1"/>
    <col min="8196" max="8196" width="9" style="108" customWidth="1"/>
    <col min="8197" max="8197" width="10" style="108" customWidth="1"/>
    <col min="8198" max="8198" width="0.85546875" style="108" customWidth="1"/>
    <col min="8199" max="8199" width="12.42578125" style="108" customWidth="1"/>
    <col min="8200" max="8200" width="0.85546875" style="108" customWidth="1"/>
    <col min="8201" max="8201" width="13.7109375" style="108" customWidth="1"/>
    <col min="8202" max="8446" width="11.5703125" style="108"/>
    <col min="8447" max="8447" width="7.85546875" style="108" customWidth="1"/>
    <col min="8448" max="8448" width="24.5703125" style="108" customWidth="1"/>
    <col min="8449" max="8449" width="3.7109375" style="108" customWidth="1"/>
    <col min="8450" max="8450" width="4.85546875" style="108" customWidth="1"/>
    <col min="8451" max="8451" width="0.85546875" style="108" customWidth="1"/>
    <col min="8452" max="8452" width="9" style="108" customWidth="1"/>
    <col min="8453" max="8453" width="10" style="108" customWidth="1"/>
    <col min="8454" max="8454" width="0.85546875" style="108" customWidth="1"/>
    <col min="8455" max="8455" width="12.42578125" style="108" customWidth="1"/>
    <col min="8456" max="8456" width="0.85546875" style="108" customWidth="1"/>
    <col min="8457" max="8457" width="13.7109375" style="108" customWidth="1"/>
    <col min="8458" max="8702" width="11.5703125" style="108"/>
    <col min="8703" max="8703" width="7.85546875" style="108" customWidth="1"/>
    <col min="8704" max="8704" width="24.5703125" style="108" customWidth="1"/>
    <col min="8705" max="8705" width="3.7109375" style="108" customWidth="1"/>
    <col min="8706" max="8706" width="4.85546875" style="108" customWidth="1"/>
    <col min="8707" max="8707" width="0.85546875" style="108" customWidth="1"/>
    <col min="8708" max="8708" width="9" style="108" customWidth="1"/>
    <col min="8709" max="8709" width="10" style="108" customWidth="1"/>
    <col min="8710" max="8710" width="0.85546875" style="108" customWidth="1"/>
    <col min="8711" max="8711" width="12.42578125" style="108" customWidth="1"/>
    <col min="8712" max="8712" width="0.85546875" style="108" customWidth="1"/>
    <col min="8713" max="8713" width="13.7109375" style="108" customWidth="1"/>
    <col min="8714" max="8958" width="11.5703125" style="108"/>
    <col min="8959" max="8959" width="7.85546875" style="108" customWidth="1"/>
    <col min="8960" max="8960" width="24.5703125" style="108" customWidth="1"/>
    <col min="8961" max="8961" width="3.7109375" style="108" customWidth="1"/>
    <col min="8962" max="8962" width="4.85546875" style="108" customWidth="1"/>
    <col min="8963" max="8963" width="0.85546875" style="108" customWidth="1"/>
    <col min="8964" max="8964" width="9" style="108" customWidth="1"/>
    <col min="8965" max="8965" width="10" style="108" customWidth="1"/>
    <col min="8966" max="8966" width="0.85546875" style="108" customWidth="1"/>
    <col min="8967" max="8967" width="12.42578125" style="108" customWidth="1"/>
    <col min="8968" max="8968" width="0.85546875" style="108" customWidth="1"/>
    <col min="8969" max="8969" width="13.7109375" style="108" customWidth="1"/>
    <col min="8970" max="9214" width="11.5703125" style="108"/>
    <col min="9215" max="9215" width="7.85546875" style="108" customWidth="1"/>
    <col min="9216" max="9216" width="24.5703125" style="108" customWidth="1"/>
    <col min="9217" max="9217" width="3.7109375" style="108" customWidth="1"/>
    <col min="9218" max="9218" width="4.85546875" style="108" customWidth="1"/>
    <col min="9219" max="9219" width="0.85546875" style="108" customWidth="1"/>
    <col min="9220" max="9220" width="9" style="108" customWidth="1"/>
    <col min="9221" max="9221" width="10" style="108" customWidth="1"/>
    <col min="9222" max="9222" width="0.85546875" style="108" customWidth="1"/>
    <col min="9223" max="9223" width="12.42578125" style="108" customWidth="1"/>
    <col min="9224" max="9224" width="0.85546875" style="108" customWidth="1"/>
    <col min="9225" max="9225" width="13.7109375" style="108" customWidth="1"/>
    <col min="9226" max="9470" width="11.5703125" style="108"/>
    <col min="9471" max="9471" width="7.85546875" style="108" customWidth="1"/>
    <col min="9472" max="9472" width="24.5703125" style="108" customWidth="1"/>
    <col min="9473" max="9473" width="3.7109375" style="108" customWidth="1"/>
    <col min="9474" max="9474" width="4.85546875" style="108" customWidth="1"/>
    <col min="9475" max="9475" width="0.85546875" style="108" customWidth="1"/>
    <col min="9476" max="9476" width="9" style="108" customWidth="1"/>
    <col min="9477" max="9477" width="10" style="108" customWidth="1"/>
    <col min="9478" max="9478" width="0.85546875" style="108" customWidth="1"/>
    <col min="9479" max="9479" width="12.42578125" style="108" customWidth="1"/>
    <col min="9480" max="9480" width="0.85546875" style="108" customWidth="1"/>
    <col min="9481" max="9481" width="13.7109375" style="108" customWidth="1"/>
    <col min="9482" max="9726" width="11.5703125" style="108"/>
    <col min="9727" max="9727" width="7.85546875" style="108" customWidth="1"/>
    <col min="9728" max="9728" width="24.5703125" style="108" customWidth="1"/>
    <col min="9729" max="9729" width="3.7109375" style="108" customWidth="1"/>
    <col min="9730" max="9730" width="4.85546875" style="108" customWidth="1"/>
    <col min="9731" max="9731" width="0.85546875" style="108" customWidth="1"/>
    <col min="9732" max="9732" width="9" style="108" customWidth="1"/>
    <col min="9733" max="9733" width="10" style="108" customWidth="1"/>
    <col min="9734" max="9734" width="0.85546875" style="108" customWidth="1"/>
    <col min="9735" max="9735" width="12.42578125" style="108" customWidth="1"/>
    <col min="9736" max="9736" width="0.85546875" style="108" customWidth="1"/>
    <col min="9737" max="9737" width="13.7109375" style="108" customWidth="1"/>
    <col min="9738" max="9982" width="11.5703125" style="108"/>
    <col min="9983" max="9983" width="7.85546875" style="108" customWidth="1"/>
    <col min="9984" max="9984" width="24.5703125" style="108" customWidth="1"/>
    <col min="9985" max="9985" width="3.7109375" style="108" customWidth="1"/>
    <col min="9986" max="9986" width="4.85546875" style="108" customWidth="1"/>
    <col min="9987" max="9987" width="0.85546875" style="108" customWidth="1"/>
    <col min="9988" max="9988" width="9" style="108" customWidth="1"/>
    <col min="9989" max="9989" width="10" style="108" customWidth="1"/>
    <col min="9990" max="9990" width="0.85546875" style="108" customWidth="1"/>
    <col min="9991" max="9991" width="12.42578125" style="108" customWidth="1"/>
    <col min="9992" max="9992" width="0.85546875" style="108" customWidth="1"/>
    <col min="9993" max="9993" width="13.7109375" style="108" customWidth="1"/>
    <col min="9994" max="10238" width="11.5703125" style="108"/>
    <col min="10239" max="10239" width="7.85546875" style="108" customWidth="1"/>
    <col min="10240" max="10240" width="24.5703125" style="108" customWidth="1"/>
    <col min="10241" max="10241" width="3.7109375" style="108" customWidth="1"/>
    <col min="10242" max="10242" width="4.85546875" style="108" customWidth="1"/>
    <col min="10243" max="10243" width="0.85546875" style="108" customWidth="1"/>
    <col min="10244" max="10244" width="9" style="108" customWidth="1"/>
    <col min="10245" max="10245" width="10" style="108" customWidth="1"/>
    <col min="10246" max="10246" width="0.85546875" style="108" customWidth="1"/>
    <col min="10247" max="10247" width="12.42578125" style="108" customWidth="1"/>
    <col min="10248" max="10248" width="0.85546875" style="108" customWidth="1"/>
    <col min="10249" max="10249" width="13.7109375" style="108" customWidth="1"/>
    <col min="10250" max="10494" width="11.5703125" style="108"/>
    <col min="10495" max="10495" width="7.85546875" style="108" customWidth="1"/>
    <col min="10496" max="10496" width="24.5703125" style="108" customWidth="1"/>
    <col min="10497" max="10497" width="3.7109375" style="108" customWidth="1"/>
    <col min="10498" max="10498" width="4.85546875" style="108" customWidth="1"/>
    <col min="10499" max="10499" width="0.85546875" style="108" customWidth="1"/>
    <col min="10500" max="10500" width="9" style="108" customWidth="1"/>
    <col min="10501" max="10501" width="10" style="108" customWidth="1"/>
    <col min="10502" max="10502" width="0.85546875" style="108" customWidth="1"/>
    <col min="10503" max="10503" width="12.42578125" style="108" customWidth="1"/>
    <col min="10504" max="10504" width="0.85546875" style="108" customWidth="1"/>
    <col min="10505" max="10505" width="13.7109375" style="108" customWidth="1"/>
    <col min="10506" max="10750" width="11.5703125" style="108"/>
    <col min="10751" max="10751" width="7.85546875" style="108" customWidth="1"/>
    <col min="10752" max="10752" width="24.5703125" style="108" customWidth="1"/>
    <col min="10753" max="10753" width="3.7109375" style="108" customWidth="1"/>
    <col min="10754" max="10754" width="4.85546875" style="108" customWidth="1"/>
    <col min="10755" max="10755" width="0.85546875" style="108" customWidth="1"/>
    <col min="10756" max="10756" width="9" style="108" customWidth="1"/>
    <col min="10757" max="10757" width="10" style="108" customWidth="1"/>
    <col min="10758" max="10758" width="0.85546875" style="108" customWidth="1"/>
    <col min="10759" max="10759" width="12.42578125" style="108" customWidth="1"/>
    <col min="10760" max="10760" width="0.85546875" style="108" customWidth="1"/>
    <col min="10761" max="10761" width="13.7109375" style="108" customWidth="1"/>
    <col min="10762" max="11006" width="11.5703125" style="108"/>
    <col min="11007" max="11007" width="7.85546875" style="108" customWidth="1"/>
    <col min="11008" max="11008" width="24.5703125" style="108" customWidth="1"/>
    <col min="11009" max="11009" width="3.7109375" style="108" customWidth="1"/>
    <col min="11010" max="11010" width="4.85546875" style="108" customWidth="1"/>
    <col min="11011" max="11011" width="0.85546875" style="108" customWidth="1"/>
    <col min="11012" max="11012" width="9" style="108" customWidth="1"/>
    <col min="11013" max="11013" width="10" style="108" customWidth="1"/>
    <col min="11014" max="11014" width="0.85546875" style="108" customWidth="1"/>
    <col min="11015" max="11015" width="12.42578125" style="108" customWidth="1"/>
    <col min="11016" max="11016" width="0.85546875" style="108" customWidth="1"/>
    <col min="11017" max="11017" width="13.7109375" style="108" customWidth="1"/>
    <col min="11018" max="11262" width="11.5703125" style="108"/>
    <col min="11263" max="11263" width="7.85546875" style="108" customWidth="1"/>
    <col min="11264" max="11264" width="24.5703125" style="108" customWidth="1"/>
    <col min="11265" max="11265" width="3.7109375" style="108" customWidth="1"/>
    <col min="11266" max="11266" width="4.85546875" style="108" customWidth="1"/>
    <col min="11267" max="11267" width="0.85546875" style="108" customWidth="1"/>
    <col min="11268" max="11268" width="9" style="108" customWidth="1"/>
    <col min="11269" max="11269" width="10" style="108" customWidth="1"/>
    <col min="11270" max="11270" width="0.85546875" style="108" customWidth="1"/>
    <col min="11271" max="11271" width="12.42578125" style="108" customWidth="1"/>
    <col min="11272" max="11272" width="0.85546875" style="108" customWidth="1"/>
    <col min="11273" max="11273" width="13.7109375" style="108" customWidth="1"/>
    <col min="11274" max="11518" width="11.5703125" style="108"/>
    <col min="11519" max="11519" width="7.85546875" style="108" customWidth="1"/>
    <col min="11520" max="11520" width="24.5703125" style="108" customWidth="1"/>
    <col min="11521" max="11521" width="3.7109375" style="108" customWidth="1"/>
    <col min="11522" max="11522" width="4.85546875" style="108" customWidth="1"/>
    <col min="11523" max="11523" width="0.85546875" style="108" customWidth="1"/>
    <col min="11524" max="11524" width="9" style="108" customWidth="1"/>
    <col min="11525" max="11525" width="10" style="108" customWidth="1"/>
    <col min="11526" max="11526" width="0.85546875" style="108" customWidth="1"/>
    <col min="11527" max="11527" width="12.42578125" style="108" customWidth="1"/>
    <col min="11528" max="11528" width="0.85546875" style="108" customWidth="1"/>
    <col min="11529" max="11529" width="13.7109375" style="108" customWidth="1"/>
    <col min="11530" max="11774" width="11.5703125" style="108"/>
    <col min="11775" max="11775" width="7.85546875" style="108" customWidth="1"/>
    <col min="11776" max="11776" width="24.5703125" style="108" customWidth="1"/>
    <col min="11777" max="11777" width="3.7109375" style="108" customWidth="1"/>
    <col min="11778" max="11778" width="4.85546875" style="108" customWidth="1"/>
    <col min="11779" max="11779" width="0.85546875" style="108" customWidth="1"/>
    <col min="11780" max="11780" width="9" style="108" customWidth="1"/>
    <col min="11781" max="11781" width="10" style="108" customWidth="1"/>
    <col min="11782" max="11782" width="0.85546875" style="108" customWidth="1"/>
    <col min="11783" max="11783" width="12.42578125" style="108" customWidth="1"/>
    <col min="11784" max="11784" width="0.85546875" style="108" customWidth="1"/>
    <col min="11785" max="11785" width="13.7109375" style="108" customWidth="1"/>
    <col min="11786" max="12030" width="11.5703125" style="108"/>
    <col min="12031" max="12031" width="7.85546875" style="108" customWidth="1"/>
    <col min="12032" max="12032" width="24.5703125" style="108" customWidth="1"/>
    <col min="12033" max="12033" width="3.7109375" style="108" customWidth="1"/>
    <col min="12034" max="12034" width="4.85546875" style="108" customWidth="1"/>
    <col min="12035" max="12035" width="0.85546875" style="108" customWidth="1"/>
    <col min="12036" max="12036" width="9" style="108" customWidth="1"/>
    <col min="12037" max="12037" width="10" style="108" customWidth="1"/>
    <col min="12038" max="12038" width="0.85546875" style="108" customWidth="1"/>
    <col min="12039" max="12039" width="12.42578125" style="108" customWidth="1"/>
    <col min="12040" max="12040" width="0.85546875" style="108" customWidth="1"/>
    <col min="12041" max="12041" width="13.7109375" style="108" customWidth="1"/>
    <col min="12042" max="12286" width="11.5703125" style="108"/>
    <col min="12287" max="12287" width="7.85546875" style="108" customWidth="1"/>
    <col min="12288" max="12288" width="24.5703125" style="108" customWidth="1"/>
    <col min="12289" max="12289" width="3.7109375" style="108" customWidth="1"/>
    <col min="12290" max="12290" width="4.85546875" style="108" customWidth="1"/>
    <col min="12291" max="12291" width="0.85546875" style="108" customWidth="1"/>
    <col min="12292" max="12292" width="9" style="108" customWidth="1"/>
    <col min="12293" max="12293" width="10" style="108" customWidth="1"/>
    <col min="12294" max="12294" width="0.85546875" style="108" customWidth="1"/>
    <col min="12295" max="12295" width="12.42578125" style="108" customWidth="1"/>
    <col min="12296" max="12296" width="0.85546875" style="108" customWidth="1"/>
    <col min="12297" max="12297" width="13.7109375" style="108" customWidth="1"/>
    <col min="12298" max="12542" width="11.5703125" style="108"/>
    <col min="12543" max="12543" width="7.85546875" style="108" customWidth="1"/>
    <col min="12544" max="12544" width="24.5703125" style="108" customWidth="1"/>
    <col min="12545" max="12545" width="3.7109375" style="108" customWidth="1"/>
    <col min="12546" max="12546" width="4.85546875" style="108" customWidth="1"/>
    <col min="12547" max="12547" width="0.85546875" style="108" customWidth="1"/>
    <col min="12548" max="12548" width="9" style="108" customWidth="1"/>
    <col min="12549" max="12549" width="10" style="108" customWidth="1"/>
    <col min="12550" max="12550" width="0.85546875" style="108" customWidth="1"/>
    <col min="12551" max="12551" width="12.42578125" style="108" customWidth="1"/>
    <col min="12552" max="12552" width="0.85546875" style="108" customWidth="1"/>
    <col min="12553" max="12553" width="13.7109375" style="108" customWidth="1"/>
    <col min="12554" max="12798" width="11.5703125" style="108"/>
    <col min="12799" max="12799" width="7.85546875" style="108" customWidth="1"/>
    <col min="12800" max="12800" width="24.5703125" style="108" customWidth="1"/>
    <col min="12801" max="12801" width="3.7109375" style="108" customWidth="1"/>
    <col min="12802" max="12802" width="4.85546875" style="108" customWidth="1"/>
    <col min="12803" max="12803" width="0.85546875" style="108" customWidth="1"/>
    <col min="12804" max="12804" width="9" style="108" customWidth="1"/>
    <col min="12805" max="12805" width="10" style="108" customWidth="1"/>
    <col min="12806" max="12806" width="0.85546875" style="108" customWidth="1"/>
    <col min="12807" max="12807" width="12.42578125" style="108" customWidth="1"/>
    <col min="12808" max="12808" width="0.85546875" style="108" customWidth="1"/>
    <col min="12809" max="12809" width="13.7109375" style="108" customWidth="1"/>
    <col min="12810" max="13054" width="11.5703125" style="108"/>
    <col min="13055" max="13055" width="7.85546875" style="108" customWidth="1"/>
    <col min="13056" max="13056" width="24.5703125" style="108" customWidth="1"/>
    <col min="13057" max="13057" width="3.7109375" style="108" customWidth="1"/>
    <col min="13058" max="13058" width="4.85546875" style="108" customWidth="1"/>
    <col min="13059" max="13059" width="0.85546875" style="108" customWidth="1"/>
    <col min="13060" max="13060" width="9" style="108" customWidth="1"/>
    <col min="13061" max="13061" width="10" style="108" customWidth="1"/>
    <col min="13062" max="13062" width="0.85546875" style="108" customWidth="1"/>
    <col min="13063" max="13063" width="12.42578125" style="108" customWidth="1"/>
    <col min="13064" max="13064" width="0.85546875" style="108" customWidth="1"/>
    <col min="13065" max="13065" width="13.7109375" style="108" customWidth="1"/>
    <col min="13066" max="13310" width="11.5703125" style="108"/>
    <col min="13311" max="13311" width="7.85546875" style="108" customWidth="1"/>
    <col min="13312" max="13312" width="24.5703125" style="108" customWidth="1"/>
    <col min="13313" max="13313" width="3.7109375" style="108" customWidth="1"/>
    <col min="13314" max="13314" width="4.85546875" style="108" customWidth="1"/>
    <col min="13315" max="13315" width="0.85546875" style="108" customWidth="1"/>
    <col min="13316" max="13316" width="9" style="108" customWidth="1"/>
    <col min="13317" max="13317" width="10" style="108" customWidth="1"/>
    <col min="13318" max="13318" width="0.85546875" style="108" customWidth="1"/>
    <col min="13319" max="13319" width="12.42578125" style="108" customWidth="1"/>
    <col min="13320" max="13320" width="0.85546875" style="108" customWidth="1"/>
    <col min="13321" max="13321" width="13.7109375" style="108" customWidth="1"/>
    <col min="13322" max="13566" width="11.5703125" style="108"/>
    <col min="13567" max="13567" width="7.85546875" style="108" customWidth="1"/>
    <col min="13568" max="13568" width="24.5703125" style="108" customWidth="1"/>
    <col min="13569" max="13569" width="3.7109375" style="108" customWidth="1"/>
    <col min="13570" max="13570" width="4.85546875" style="108" customWidth="1"/>
    <col min="13571" max="13571" width="0.85546875" style="108" customWidth="1"/>
    <col min="13572" max="13572" width="9" style="108" customWidth="1"/>
    <col min="13573" max="13573" width="10" style="108" customWidth="1"/>
    <col min="13574" max="13574" width="0.85546875" style="108" customWidth="1"/>
    <col min="13575" max="13575" width="12.42578125" style="108" customWidth="1"/>
    <col min="13576" max="13576" width="0.85546875" style="108" customWidth="1"/>
    <col min="13577" max="13577" width="13.7109375" style="108" customWidth="1"/>
    <col min="13578" max="13822" width="11.5703125" style="108"/>
    <col min="13823" max="13823" width="7.85546875" style="108" customWidth="1"/>
    <col min="13824" max="13824" width="24.5703125" style="108" customWidth="1"/>
    <col min="13825" max="13825" width="3.7109375" style="108" customWidth="1"/>
    <col min="13826" max="13826" width="4.85546875" style="108" customWidth="1"/>
    <col min="13827" max="13827" width="0.85546875" style="108" customWidth="1"/>
    <col min="13828" max="13828" width="9" style="108" customWidth="1"/>
    <col min="13829" max="13829" width="10" style="108" customWidth="1"/>
    <col min="13830" max="13830" width="0.85546875" style="108" customWidth="1"/>
    <col min="13831" max="13831" width="12.42578125" style="108" customWidth="1"/>
    <col min="13832" max="13832" width="0.85546875" style="108" customWidth="1"/>
    <col min="13833" max="13833" width="13.7109375" style="108" customWidth="1"/>
    <col min="13834" max="14078" width="11.5703125" style="108"/>
    <col min="14079" max="14079" width="7.85546875" style="108" customWidth="1"/>
    <col min="14080" max="14080" width="24.5703125" style="108" customWidth="1"/>
    <col min="14081" max="14081" width="3.7109375" style="108" customWidth="1"/>
    <col min="14082" max="14082" width="4.85546875" style="108" customWidth="1"/>
    <col min="14083" max="14083" width="0.85546875" style="108" customWidth="1"/>
    <col min="14084" max="14084" width="9" style="108" customWidth="1"/>
    <col min="14085" max="14085" width="10" style="108" customWidth="1"/>
    <col min="14086" max="14086" width="0.85546875" style="108" customWidth="1"/>
    <col min="14087" max="14087" width="12.42578125" style="108" customWidth="1"/>
    <col min="14088" max="14088" width="0.85546875" style="108" customWidth="1"/>
    <col min="14089" max="14089" width="13.7109375" style="108" customWidth="1"/>
    <col min="14090" max="14334" width="11.5703125" style="108"/>
    <col min="14335" max="14335" width="7.85546875" style="108" customWidth="1"/>
    <col min="14336" max="14336" width="24.5703125" style="108" customWidth="1"/>
    <col min="14337" max="14337" width="3.7109375" style="108" customWidth="1"/>
    <col min="14338" max="14338" width="4.85546875" style="108" customWidth="1"/>
    <col min="14339" max="14339" width="0.85546875" style="108" customWidth="1"/>
    <col min="14340" max="14340" width="9" style="108" customWidth="1"/>
    <col min="14341" max="14341" width="10" style="108" customWidth="1"/>
    <col min="14342" max="14342" width="0.85546875" style="108" customWidth="1"/>
    <col min="14343" max="14343" width="12.42578125" style="108" customWidth="1"/>
    <col min="14344" max="14344" width="0.85546875" style="108" customWidth="1"/>
    <col min="14345" max="14345" width="13.7109375" style="108" customWidth="1"/>
    <col min="14346" max="14590" width="11.5703125" style="108"/>
    <col min="14591" max="14591" width="7.85546875" style="108" customWidth="1"/>
    <col min="14592" max="14592" width="24.5703125" style="108" customWidth="1"/>
    <col min="14593" max="14593" width="3.7109375" style="108" customWidth="1"/>
    <col min="14594" max="14594" width="4.85546875" style="108" customWidth="1"/>
    <col min="14595" max="14595" width="0.85546875" style="108" customWidth="1"/>
    <col min="14596" max="14596" width="9" style="108" customWidth="1"/>
    <col min="14597" max="14597" width="10" style="108" customWidth="1"/>
    <col min="14598" max="14598" width="0.85546875" style="108" customWidth="1"/>
    <col min="14599" max="14599" width="12.42578125" style="108" customWidth="1"/>
    <col min="14600" max="14600" width="0.85546875" style="108" customWidth="1"/>
    <col min="14601" max="14601" width="13.7109375" style="108" customWidth="1"/>
    <col min="14602" max="14846" width="11.5703125" style="108"/>
    <col min="14847" max="14847" width="7.85546875" style="108" customWidth="1"/>
    <col min="14848" max="14848" width="24.5703125" style="108" customWidth="1"/>
    <col min="14849" max="14849" width="3.7109375" style="108" customWidth="1"/>
    <col min="14850" max="14850" width="4.85546875" style="108" customWidth="1"/>
    <col min="14851" max="14851" width="0.85546875" style="108" customWidth="1"/>
    <col min="14852" max="14852" width="9" style="108" customWidth="1"/>
    <col min="14853" max="14853" width="10" style="108" customWidth="1"/>
    <col min="14854" max="14854" width="0.85546875" style="108" customWidth="1"/>
    <col min="14855" max="14855" width="12.42578125" style="108" customWidth="1"/>
    <col min="14856" max="14856" width="0.85546875" style="108" customWidth="1"/>
    <col min="14857" max="14857" width="13.7109375" style="108" customWidth="1"/>
    <col min="14858" max="15102" width="11.5703125" style="108"/>
    <col min="15103" max="15103" width="7.85546875" style="108" customWidth="1"/>
    <col min="15104" max="15104" width="24.5703125" style="108" customWidth="1"/>
    <col min="15105" max="15105" width="3.7109375" style="108" customWidth="1"/>
    <col min="15106" max="15106" width="4.85546875" style="108" customWidth="1"/>
    <col min="15107" max="15107" width="0.85546875" style="108" customWidth="1"/>
    <col min="15108" max="15108" width="9" style="108" customWidth="1"/>
    <col min="15109" max="15109" width="10" style="108" customWidth="1"/>
    <col min="15110" max="15110" width="0.85546875" style="108" customWidth="1"/>
    <col min="15111" max="15111" width="12.42578125" style="108" customWidth="1"/>
    <col min="15112" max="15112" width="0.85546875" style="108" customWidth="1"/>
    <col min="15113" max="15113" width="13.7109375" style="108" customWidth="1"/>
    <col min="15114" max="15358" width="11.5703125" style="108"/>
    <col min="15359" max="15359" width="7.85546875" style="108" customWidth="1"/>
    <col min="15360" max="15360" width="24.5703125" style="108" customWidth="1"/>
    <col min="15361" max="15361" width="3.7109375" style="108" customWidth="1"/>
    <col min="15362" max="15362" width="4.85546875" style="108" customWidth="1"/>
    <col min="15363" max="15363" width="0.85546875" style="108" customWidth="1"/>
    <col min="15364" max="15364" width="9" style="108" customWidth="1"/>
    <col min="15365" max="15365" width="10" style="108" customWidth="1"/>
    <col min="15366" max="15366" width="0.85546875" style="108" customWidth="1"/>
    <col min="15367" max="15367" width="12.42578125" style="108" customWidth="1"/>
    <col min="15368" max="15368" width="0.85546875" style="108" customWidth="1"/>
    <col min="15369" max="15369" width="13.7109375" style="108" customWidth="1"/>
    <col min="15370" max="15614" width="11.5703125" style="108"/>
    <col min="15615" max="15615" width="7.85546875" style="108" customWidth="1"/>
    <col min="15616" max="15616" width="24.5703125" style="108" customWidth="1"/>
    <col min="15617" max="15617" width="3.7109375" style="108" customWidth="1"/>
    <col min="15618" max="15618" width="4.85546875" style="108" customWidth="1"/>
    <col min="15619" max="15619" width="0.85546875" style="108" customWidth="1"/>
    <col min="15620" max="15620" width="9" style="108" customWidth="1"/>
    <col min="15621" max="15621" width="10" style="108" customWidth="1"/>
    <col min="15622" max="15622" width="0.85546875" style="108" customWidth="1"/>
    <col min="15623" max="15623" width="12.42578125" style="108" customWidth="1"/>
    <col min="15624" max="15624" width="0.85546875" style="108" customWidth="1"/>
    <col min="15625" max="15625" width="13.7109375" style="108" customWidth="1"/>
    <col min="15626" max="15870" width="11.5703125" style="108"/>
    <col min="15871" max="15871" width="7.85546875" style="108" customWidth="1"/>
    <col min="15872" max="15872" width="24.5703125" style="108" customWidth="1"/>
    <col min="15873" max="15873" width="3.7109375" style="108" customWidth="1"/>
    <col min="15874" max="15874" width="4.85546875" style="108" customWidth="1"/>
    <col min="15875" max="15875" width="0.85546875" style="108" customWidth="1"/>
    <col min="15876" max="15876" width="9" style="108" customWidth="1"/>
    <col min="15877" max="15877" width="10" style="108" customWidth="1"/>
    <col min="15878" max="15878" width="0.85546875" style="108" customWidth="1"/>
    <col min="15879" max="15879" width="12.42578125" style="108" customWidth="1"/>
    <col min="15880" max="15880" width="0.85546875" style="108" customWidth="1"/>
    <col min="15881" max="15881" width="13.7109375" style="108" customWidth="1"/>
    <col min="15882" max="16126" width="11.5703125" style="108"/>
    <col min="16127" max="16127" width="7.85546875" style="108" customWidth="1"/>
    <col min="16128" max="16128" width="24.5703125" style="108" customWidth="1"/>
    <col min="16129" max="16129" width="3.7109375" style="108" customWidth="1"/>
    <col min="16130" max="16130" width="4.85546875" style="108" customWidth="1"/>
    <col min="16131" max="16131" width="0.85546875" style="108" customWidth="1"/>
    <col min="16132" max="16132" width="9" style="108" customWidth="1"/>
    <col min="16133" max="16133" width="10" style="108" customWidth="1"/>
    <col min="16134" max="16134" width="0.85546875" style="108" customWidth="1"/>
    <col min="16135" max="16135" width="12.42578125" style="108" customWidth="1"/>
    <col min="16136" max="16136" width="0.85546875" style="108" customWidth="1"/>
    <col min="16137" max="16137" width="13.7109375" style="108" customWidth="1"/>
    <col min="16138" max="16384" width="11.5703125" style="108"/>
  </cols>
  <sheetData>
    <row r="1" spans="1:13">
      <c r="A1" s="2"/>
    </row>
    <row r="2" spans="1:13">
      <c r="D2" s="115"/>
    </row>
    <row r="3" spans="1:13" s="109" customFormat="1" ht="33.75" customHeight="1">
      <c r="A3" s="297" t="s">
        <v>278</v>
      </c>
      <c r="B3" s="297"/>
      <c r="C3" s="297"/>
      <c r="D3" s="297"/>
      <c r="E3" s="297"/>
      <c r="F3" s="297"/>
      <c r="G3" s="297"/>
      <c r="H3" s="297"/>
      <c r="I3" s="297"/>
      <c r="J3" s="115"/>
    </row>
    <row r="6" spans="1:13">
      <c r="E6" s="300" t="s">
        <v>196</v>
      </c>
      <c r="F6" s="300"/>
      <c r="G6" s="300"/>
      <c r="H6" s="300"/>
      <c r="I6" s="300"/>
      <c r="J6" s="301" t="s">
        <v>202</v>
      </c>
      <c r="K6" s="95"/>
    </row>
    <row r="7" spans="1:13" s="111" customFormat="1" ht="38.25" customHeight="1">
      <c r="A7" s="164" t="s">
        <v>197</v>
      </c>
      <c r="B7" s="164" t="s">
        <v>198</v>
      </c>
      <c r="C7" s="164" t="s">
        <v>199</v>
      </c>
      <c r="D7" s="162" t="s">
        <v>200</v>
      </c>
      <c r="E7" s="164" t="s">
        <v>201</v>
      </c>
      <c r="F7" s="164" t="s">
        <v>294</v>
      </c>
      <c r="G7" s="15" t="s">
        <v>248</v>
      </c>
      <c r="H7" s="164" t="s">
        <v>249</v>
      </c>
      <c r="I7" s="259" t="s">
        <v>37</v>
      </c>
      <c r="J7" s="301"/>
      <c r="K7" s="116"/>
    </row>
    <row r="8" spans="1:13" s="111" customFormat="1">
      <c r="A8" s="70">
        <v>1</v>
      </c>
      <c r="B8" s="197" t="s">
        <v>230</v>
      </c>
      <c r="C8" s="70" t="s">
        <v>203</v>
      </c>
      <c r="D8" s="12">
        <f>'C6A'!D8</f>
        <v>1</v>
      </c>
      <c r="E8" s="159">
        <f>'C6A'!E8+'C6A'!E8*'C6B'!$E$49</f>
        <v>3869.5800000000004</v>
      </c>
      <c r="F8" s="159">
        <f>D8*E8</f>
        <v>3869.5800000000004</v>
      </c>
      <c r="G8" s="165">
        <f>'C6A'!G8</f>
        <v>1.8</v>
      </c>
      <c r="H8" s="159">
        <f t="shared" ref="H8:H31" si="0">E8*G8</f>
        <v>6965.2440000000006</v>
      </c>
      <c r="I8" s="159">
        <f>(H8*D8)+F8</f>
        <v>10834.824000000001</v>
      </c>
      <c r="J8" s="127">
        <f>I8*$E$48</f>
        <v>130017.88800000001</v>
      </c>
      <c r="K8" s="116"/>
    </row>
    <row r="9" spans="1:13" s="111" customFormat="1">
      <c r="A9" s="70">
        <v>1</v>
      </c>
      <c r="B9" s="197" t="s">
        <v>258</v>
      </c>
      <c r="C9" s="70" t="s">
        <v>203</v>
      </c>
      <c r="D9" s="12">
        <f>'C6A'!D9</f>
        <v>1</v>
      </c>
      <c r="E9" s="159">
        <f>'C6A'!E9+'C6A'!E9*'C6B'!$E$49</f>
        <v>1510.08</v>
      </c>
      <c r="F9" s="159">
        <f t="shared" ref="F9:F31" si="1">D9*E9</f>
        <v>1510.08</v>
      </c>
      <c r="G9" s="165">
        <f>'C6A'!G9</f>
        <v>1.8</v>
      </c>
      <c r="H9" s="159">
        <f t="shared" si="0"/>
        <v>2718.1439999999998</v>
      </c>
      <c r="I9" s="159">
        <f t="shared" ref="I9:I31" si="2">(H9*D9)+F9</f>
        <v>4228.2240000000002</v>
      </c>
      <c r="J9" s="127">
        <f t="shared" ref="J9:J13" si="3">I9*$E$48</f>
        <v>50738.688000000002</v>
      </c>
      <c r="K9" s="116"/>
    </row>
    <row r="10" spans="1:13" s="111" customFormat="1">
      <c r="A10" s="70">
        <v>1</v>
      </c>
      <c r="B10" s="197" t="s">
        <v>259</v>
      </c>
      <c r="C10" s="70" t="s">
        <v>203</v>
      </c>
      <c r="D10" s="12">
        <f>'C6A'!D10</f>
        <v>1</v>
      </c>
      <c r="E10" s="159">
        <f>'C6A'!E10+'C6A'!E10*'C6B'!$E$49</f>
        <v>1510.08</v>
      </c>
      <c r="F10" s="159">
        <f t="shared" si="1"/>
        <v>1510.08</v>
      </c>
      <c r="G10" s="165">
        <f>'C6A'!G10</f>
        <v>1.8</v>
      </c>
      <c r="H10" s="159">
        <f t="shared" si="0"/>
        <v>2718.1439999999998</v>
      </c>
      <c r="I10" s="159">
        <f t="shared" si="2"/>
        <v>4228.2240000000002</v>
      </c>
      <c r="J10" s="127">
        <f t="shared" si="3"/>
        <v>50738.688000000002</v>
      </c>
      <c r="K10" s="116"/>
    </row>
    <row r="11" spans="1:13" s="111" customFormat="1">
      <c r="A11" s="70">
        <v>1</v>
      </c>
      <c r="B11" s="197" t="s">
        <v>260</v>
      </c>
      <c r="C11" s="70" t="s">
        <v>203</v>
      </c>
      <c r="D11" s="12">
        <f>'C6A'!D11</f>
        <v>1</v>
      </c>
      <c r="E11" s="159">
        <f>'C6A'!E11+'C6A'!E11*'C6B'!$E$49</f>
        <v>1510.08</v>
      </c>
      <c r="F11" s="159">
        <f t="shared" si="1"/>
        <v>1510.08</v>
      </c>
      <c r="G11" s="165">
        <f>'C6A'!G11</f>
        <v>1.8</v>
      </c>
      <c r="H11" s="159">
        <f t="shared" si="0"/>
        <v>2718.1439999999998</v>
      </c>
      <c r="I11" s="159">
        <f t="shared" si="2"/>
        <v>4228.2240000000002</v>
      </c>
      <c r="J11" s="127">
        <f t="shared" si="3"/>
        <v>50738.688000000002</v>
      </c>
      <c r="K11" s="116"/>
    </row>
    <row r="12" spans="1:13" s="111" customFormat="1">
      <c r="A12" s="70">
        <v>1</v>
      </c>
      <c r="B12" s="197" t="s">
        <v>215</v>
      </c>
      <c r="C12" s="70" t="s">
        <v>203</v>
      </c>
      <c r="D12" s="12">
        <f>'C6A'!D12</f>
        <v>1</v>
      </c>
      <c r="E12" s="159">
        <f>'C6A'!E12+'C6A'!E12*'C6B'!$E$49</f>
        <v>3397.6800000000003</v>
      </c>
      <c r="F12" s="159">
        <f t="shared" si="1"/>
        <v>3397.6800000000003</v>
      </c>
      <c r="G12" s="165">
        <f>'C6A'!G12</f>
        <v>1.8</v>
      </c>
      <c r="H12" s="159">
        <f t="shared" si="0"/>
        <v>6115.8240000000005</v>
      </c>
      <c r="I12" s="159">
        <f t="shared" si="2"/>
        <v>9513.5040000000008</v>
      </c>
      <c r="J12" s="127">
        <f t="shared" si="3"/>
        <v>114162.04800000001</v>
      </c>
      <c r="K12" s="116"/>
    </row>
    <row r="13" spans="1:13" s="111" customFormat="1">
      <c r="A13" s="70">
        <v>1</v>
      </c>
      <c r="B13" s="197" t="s">
        <v>216</v>
      </c>
      <c r="C13" s="70" t="s">
        <v>203</v>
      </c>
      <c r="D13" s="12">
        <f>'C6A'!D13</f>
        <v>1</v>
      </c>
      <c r="E13" s="159">
        <f>'C6A'!E13+'C6A'!E13*'C6B'!$E$49</f>
        <v>3397.6800000000003</v>
      </c>
      <c r="F13" s="159">
        <f t="shared" si="1"/>
        <v>3397.6800000000003</v>
      </c>
      <c r="G13" s="165">
        <f>'C6A'!G13</f>
        <v>1.8</v>
      </c>
      <c r="H13" s="159">
        <f t="shared" si="0"/>
        <v>6115.8240000000005</v>
      </c>
      <c r="I13" s="159">
        <f t="shared" si="2"/>
        <v>9513.5040000000008</v>
      </c>
      <c r="J13" s="127">
        <f t="shared" si="3"/>
        <v>114162.04800000001</v>
      </c>
      <c r="K13" s="116"/>
    </row>
    <row r="14" spans="1:13" s="111" customFormat="1">
      <c r="A14" s="65">
        <v>2</v>
      </c>
      <c r="B14" s="198" t="s">
        <v>213</v>
      </c>
      <c r="C14" s="12" t="s">
        <v>203</v>
      </c>
      <c r="D14" s="12">
        <f>'C6A'!D14</f>
        <v>1</v>
      </c>
      <c r="E14" s="159">
        <f>'C6A'!E14+'C6A'!E14*'C6B'!$E$49</f>
        <v>2420</v>
      </c>
      <c r="F14" s="159">
        <f t="shared" si="1"/>
        <v>2420</v>
      </c>
      <c r="G14" s="165">
        <f>'C6A'!G14</f>
        <v>1.8</v>
      </c>
      <c r="H14" s="159">
        <f t="shared" si="0"/>
        <v>4356</v>
      </c>
      <c r="I14" s="159">
        <f t="shared" si="2"/>
        <v>6776</v>
      </c>
      <c r="J14" s="127">
        <f t="shared" ref="J14:J30" si="4">I14*$E$48</f>
        <v>81312</v>
      </c>
      <c r="K14" s="116"/>
    </row>
    <row r="15" spans="1:13" s="111" customFormat="1">
      <c r="A15" s="65">
        <v>2</v>
      </c>
      <c r="B15" s="198" t="s">
        <v>214</v>
      </c>
      <c r="C15" s="12" t="s">
        <v>203</v>
      </c>
      <c r="D15" s="12">
        <f>'C6A'!D15</f>
        <v>1</v>
      </c>
      <c r="E15" s="159">
        <f>'C6A'!E15+'C6A'!E15*'C6B'!$E$49</f>
        <v>1100</v>
      </c>
      <c r="F15" s="159">
        <f t="shared" si="1"/>
        <v>1100</v>
      </c>
      <c r="G15" s="165">
        <f>'C6A'!G15</f>
        <v>1.8</v>
      </c>
      <c r="H15" s="159">
        <f t="shared" si="0"/>
        <v>1980</v>
      </c>
      <c r="I15" s="159">
        <f t="shared" si="2"/>
        <v>3080</v>
      </c>
      <c r="J15" s="127">
        <f t="shared" si="4"/>
        <v>36960</v>
      </c>
      <c r="K15" s="116"/>
      <c r="L15" s="199"/>
      <c r="M15" s="199"/>
    </row>
    <row r="16" spans="1:13" s="111" customFormat="1">
      <c r="A16" s="65">
        <v>3</v>
      </c>
      <c r="B16" s="198" t="s">
        <v>217</v>
      </c>
      <c r="C16" s="12" t="s">
        <v>203</v>
      </c>
      <c r="D16" s="12">
        <f>'C6A'!D16+1</f>
        <v>2</v>
      </c>
      <c r="E16" s="159">
        <f>'C6A'!E16+'C6A'!E16*'C6B'!$E$49</f>
        <v>1320</v>
      </c>
      <c r="F16" s="159">
        <f t="shared" si="1"/>
        <v>2640</v>
      </c>
      <c r="G16" s="165">
        <f>'C6A'!G16</f>
        <v>1.8</v>
      </c>
      <c r="H16" s="159">
        <f t="shared" si="0"/>
        <v>2376</v>
      </c>
      <c r="I16" s="159">
        <f t="shared" si="2"/>
        <v>7392</v>
      </c>
      <c r="J16" s="127">
        <f t="shared" si="4"/>
        <v>88704</v>
      </c>
      <c r="K16" s="116"/>
      <c r="L16" s="199"/>
      <c r="M16" s="199"/>
    </row>
    <row r="17" spans="1:13" s="111" customFormat="1">
      <c r="A17" s="65">
        <v>3</v>
      </c>
      <c r="B17" s="198" t="s">
        <v>218</v>
      </c>
      <c r="C17" s="12" t="s">
        <v>203</v>
      </c>
      <c r="D17" s="12">
        <f>'C6A'!D17+1</f>
        <v>4</v>
      </c>
      <c r="E17" s="159">
        <f>'C6A'!E17+'C6A'!E17*'C6B'!$E$49</f>
        <v>1089</v>
      </c>
      <c r="F17" s="159">
        <f t="shared" si="1"/>
        <v>4356</v>
      </c>
      <c r="G17" s="165">
        <f>'C6A'!G17</f>
        <v>1.8</v>
      </c>
      <c r="H17" s="159">
        <f t="shared" si="0"/>
        <v>1960.2</v>
      </c>
      <c r="I17" s="159">
        <f t="shared" si="2"/>
        <v>12196.8</v>
      </c>
      <c r="J17" s="127">
        <f t="shared" si="4"/>
        <v>146361.59999999998</v>
      </c>
      <c r="K17" s="116"/>
      <c r="L17" s="199"/>
      <c r="M17" s="199"/>
    </row>
    <row r="18" spans="1:13" s="111" customFormat="1">
      <c r="A18" s="65">
        <v>4</v>
      </c>
      <c r="B18" s="198" t="s">
        <v>261</v>
      </c>
      <c r="C18" s="12" t="s">
        <v>203</v>
      </c>
      <c r="D18" s="12">
        <f>'C6A'!D18+7</f>
        <v>10</v>
      </c>
      <c r="E18" s="159">
        <f>'C6A'!E18+'C6A'!E18*'C6B'!$E$49</f>
        <v>967.07600000000002</v>
      </c>
      <c r="F18" s="159">
        <f t="shared" si="1"/>
        <v>9670.76</v>
      </c>
      <c r="G18" s="165">
        <f>'C6A'!G18</f>
        <v>1.8</v>
      </c>
      <c r="H18" s="159">
        <f t="shared" si="0"/>
        <v>1740.7368000000001</v>
      </c>
      <c r="I18" s="159">
        <f t="shared" si="2"/>
        <v>27078.128000000004</v>
      </c>
      <c r="J18" s="127">
        <f t="shared" si="4"/>
        <v>324937.53600000008</v>
      </c>
      <c r="K18" s="116"/>
      <c r="L18" s="199"/>
      <c r="M18" s="199"/>
    </row>
    <row r="19" spans="1:13" s="111" customFormat="1">
      <c r="A19" s="65">
        <v>4</v>
      </c>
      <c r="B19" s="198" t="s">
        <v>262</v>
      </c>
      <c r="C19" s="12" t="s">
        <v>203</v>
      </c>
      <c r="D19" s="12">
        <f>'C6A'!D19+5</f>
        <v>8</v>
      </c>
      <c r="E19" s="159">
        <f>'C6A'!E19+'C6A'!E19*'C6B'!$E$49</f>
        <v>1040.5999999999999</v>
      </c>
      <c r="F19" s="159">
        <f t="shared" si="1"/>
        <v>8324.7999999999993</v>
      </c>
      <c r="G19" s="165">
        <f>'C6A'!G19</f>
        <v>1.8</v>
      </c>
      <c r="H19" s="159">
        <f t="shared" si="0"/>
        <v>1873.08</v>
      </c>
      <c r="I19" s="159">
        <f t="shared" si="2"/>
        <v>23309.439999999999</v>
      </c>
      <c r="J19" s="127">
        <f t="shared" si="4"/>
        <v>279713.27999999997</v>
      </c>
      <c r="K19" s="116"/>
      <c r="L19" s="199"/>
      <c r="M19" s="199"/>
    </row>
    <row r="20" spans="1:13" s="111" customFormat="1">
      <c r="A20" s="65">
        <v>3</v>
      </c>
      <c r="B20" s="198" t="s">
        <v>219</v>
      </c>
      <c r="C20" s="12" t="s">
        <v>203</v>
      </c>
      <c r="D20" s="12">
        <f>'C6A'!D20+1</f>
        <v>2</v>
      </c>
      <c r="E20" s="159">
        <f>'C6A'!E20+'C6A'!E20*'C6B'!$E$49</f>
        <v>967.23</v>
      </c>
      <c r="F20" s="159">
        <f t="shared" si="1"/>
        <v>1934.46</v>
      </c>
      <c r="G20" s="165">
        <f>'C6A'!G20</f>
        <v>1.8</v>
      </c>
      <c r="H20" s="159">
        <f t="shared" si="0"/>
        <v>1741.0140000000001</v>
      </c>
      <c r="I20" s="159">
        <f t="shared" si="2"/>
        <v>5416.4880000000003</v>
      </c>
      <c r="J20" s="127">
        <f t="shared" si="4"/>
        <v>64997.856</v>
      </c>
      <c r="K20" s="116"/>
    </row>
    <row r="21" spans="1:13" s="111" customFormat="1">
      <c r="A21" s="65">
        <v>2</v>
      </c>
      <c r="B21" s="198" t="s">
        <v>220</v>
      </c>
      <c r="C21" s="12" t="s">
        <v>203</v>
      </c>
      <c r="D21" s="12">
        <f>'C6A'!D21</f>
        <v>1</v>
      </c>
      <c r="E21" s="159">
        <f>'C6A'!E21+'C6A'!E21*'C6B'!$E$49</f>
        <v>1650</v>
      </c>
      <c r="F21" s="159">
        <f t="shared" si="1"/>
        <v>1650</v>
      </c>
      <c r="G21" s="165">
        <f>'C6A'!G21</f>
        <v>1.8</v>
      </c>
      <c r="H21" s="159">
        <f t="shared" si="0"/>
        <v>2970</v>
      </c>
      <c r="I21" s="159">
        <f t="shared" si="2"/>
        <v>4620</v>
      </c>
      <c r="J21" s="127">
        <f t="shared" si="4"/>
        <v>55440</v>
      </c>
      <c r="K21" s="116"/>
    </row>
    <row r="22" spans="1:13" s="111" customFormat="1">
      <c r="A22" s="65">
        <v>2</v>
      </c>
      <c r="B22" s="198" t="s">
        <v>221</v>
      </c>
      <c r="C22" s="12" t="s">
        <v>203</v>
      </c>
      <c r="D22" s="12">
        <f>'C6A'!D22</f>
        <v>1</v>
      </c>
      <c r="E22" s="159">
        <f>'C6A'!E22+'C6A'!E22*'C6B'!$E$49</f>
        <v>1510.08</v>
      </c>
      <c r="F22" s="159">
        <f t="shared" si="1"/>
        <v>1510.08</v>
      </c>
      <c r="G22" s="165">
        <f>'C6A'!G22</f>
        <v>1.8</v>
      </c>
      <c r="H22" s="159">
        <f t="shared" si="0"/>
        <v>2718.1439999999998</v>
      </c>
      <c r="I22" s="159">
        <f t="shared" si="2"/>
        <v>4228.2240000000002</v>
      </c>
      <c r="J22" s="127">
        <f t="shared" si="4"/>
        <v>50738.688000000002</v>
      </c>
      <c r="K22" s="116"/>
    </row>
    <row r="23" spans="1:13" s="111" customFormat="1">
      <c r="A23" s="65">
        <v>2</v>
      </c>
      <c r="B23" s="198" t="s">
        <v>222</v>
      </c>
      <c r="C23" s="12" t="s">
        <v>203</v>
      </c>
      <c r="D23" s="12">
        <f>'C6A'!D23</f>
        <v>1</v>
      </c>
      <c r="E23" s="159">
        <f>'C6A'!E23+'C6A'!E23*'C6B'!$E$49</f>
        <v>1320</v>
      </c>
      <c r="F23" s="159">
        <f t="shared" si="1"/>
        <v>1320</v>
      </c>
      <c r="G23" s="165">
        <f>'C6A'!G23</f>
        <v>1.8</v>
      </c>
      <c r="H23" s="159">
        <f t="shared" si="0"/>
        <v>2376</v>
      </c>
      <c r="I23" s="159">
        <f t="shared" si="2"/>
        <v>3696</v>
      </c>
      <c r="J23" s="127">
        <f t="shared" si="4"/>
        <v>44352</v>
      </c>
      <c r="K23" s="116"/>
    </row>
    <row r="24" spans="1:13" s="111" customFormat="1">
      <c r="A24" s="65">
        <v>2</v>
      </c>
      <c r="B24" s="198" t="s">
        <v>223</v>
      </c>
      <c r="C24" s="12" t="s">
        <v>203</v>
      </c>
      <c r="D24" s="12">
        <f>'C6A'!D24</f>
        <v>1</v>
      </c>
      <c r="E24" s="159">
        <f>'C6A'!E24+'C6A'!E24*'C6B'!$E$49</f>
        <v>1132.56</v>
      </c>
      <c r="F24" s="159">
        <f t="shared" si="1"/>
        <v>1132.56</v>
      </c>
      <c r="G24" s="165">
        <f>'C6A'!G24</f>
        <v>1.8</v>
      </c>
      <c r="H24" s="159">
        <f t="shared" si="0"/>
        <v>2038.6079999999999</v>
      </c>
      <c r="I24" s="159">
        <f t="shared" si="2"/>
        <v>3171.1679999999997</v>
      </c>
      <c r="J24" s="127">
        <f t="shared" si="4"/>
        <v>38054.015999999996</v>
      </c>
      <c r="K24" s="116"/>
    </row>
    <row r="25" spans="1:13">
      <c r="A25" s="65">
        <v>3</v>
      </c>
      <c r="B25" s="198" t="s">
        <v>229</v>
      </c>
      <c r="C25" s="12" t="s">
        <v>203</v>
      </c>
      <c r="D25" s="12">
        <f>'C6A'!D25+2</f>
        <v>3</v>
      </c>
      <c r="E25" s="159">
        <f>'C6A'!E25+'C6A'!E25*'C6B'!$E$49</f>
        <v>967.07600000000002</v>
      </c>
      <c r="F25" s="159">
        <f t="shared" si="1"/>
        <v>2901.2280000000001</v>
      </c>
      <c r="G25" s="165">
        <f>'C6A'!G25</f>
        <v>1.8</v>
      </c>
      <c r="H25" s="159">
        <f t="shared" si="0"/>
        <v>1740.7368000000001</v>
      </c>
      <c r="I25" s="159">
        <f t="shared" si="2"/>
        <v>8123.4384</v>
      </c>
      <c r="J25" s="127">
        <f t="shared" si="4"/>
        <v>97481.260800000004</v>
      </c>
      <c r="K25" s="95"/>
    </row>
    <row r="26" spans="1:13">
      <c r="A26" s="65">
        <v>3</v>
      </c>
      <c r="B26" s="198" t="s">
        <v>224</v>
      </c>
      <c r="C26" s="12" t="s">
        <v>203</v>
      </c>
      <c r="D26" s="12">
        <f>'C6A'!D26+2</f>
        <v>3</v>
      </c>
      <c r="E26" s="159">
        <f>'C6A'!E26+'C6A'!E26*'C6B'!$E$49</f>
        <v>1210</v>
      </c>
      <c r="F26" s="159">
        <f t="shared" si="1"/>
        <v>3630</v>
      </c>
      <c r="G26" s="165">
        <f>'C6A'!G26</f>
        <v>1.8</v>
      </c>
      <c r="H26" s="159">
        <f t="shared" si="0"/>
        <v>2178</v>
      </c>
      <c r="I26" s="159">
        <f t="shared" si="2"/>
        <v>10164</v>
      </c>
      <c r="J26" s="127">
        <f t="shared" si="4"/>
        <v>121968</v>
      </c>
      <c r="K26" s="95"/>
    </row>
    <row r="27" spans="1:13">
      <c r="A27" s="65">
        <v>3</v>
      </c>
      <c r="B27" s="198" t="s">
        <v>225</v>
      </c>
      <c r="C27" s="12" t="s">
        <v>203</v>
      </c>
      <c r="D27" s="12">
        <f>'C6A'!D27+1</f>
        <v>2</v>
      </c>
      <c r="E27" s="159">
        <f>'C6A'!E27+'C6A'!E27*'C6B'!$E$49</f>
        <v>1100</v>
      </c>
      <c r="F27" s="159">
        <f t="shared" si="1"/>
        <v>2200</v>
      </c>
      <c r="G27" s="165">
        <f>'C6A'!G27</f>
        <v>1.8</v>
      </c>
      <c r="H27" s="159">
        <f t="shared" si="0"/>
        <v>1980</v>
      </c>
      <c r="I27" s="159">
        <f t="shared" si="2"/>
        <v>6160</v>
      </c>
      <c r="J27" s="127">
        <f t="shared" si="4"/>
        <v>73920</v>
      </c>
      <c r="K27" s="95"/>
    </row>
    <row r="28" spans="1:13">
      <c r="A28" s="65">
        <v>4</v>
      </c>
      <c r="B28" s="198" t="s">
        <v>226</v>
      </c>
      <c r="C28" s="12" t="s">
        <v>203</v>
      </c>
      <c r="D28" s="12">
        <f>'C6A'!D28+8</f>
        <v>10</v>
      </c>
      <c r="E28" s="159">
        <f>'C6A'!E28+'C6A'!E28*'C6B'!$E$49</f>
        <v>1011.076</v>
      </c>
      <c r="F28" s="159">
        <f>D28*E28</f>
        <v>10110.76</v>
      </c>
      <c r="G28" s="165">
        <f>'C6A'!G28</f>
        <v>1.8</v>
      </c>
      <c r="H28" s="159">
        <f t="shared" si="0"/>
        <v>1819.9368000000002</v>
      </c>
      <c r="I28" s="159">
        <f t="shared" si="2"/>
        <v>28310.128000000004</v>
      </c>
      <c r="J28" s="127">
        <f t="shared" si="4"/>
        <v>339721.53600000008</v>
      </c>
      <c r="K28" s="95"/>
    </row>
    <row r="29" spans="1:13">
      <c r="A29" s="65">
        <v>4</v>
      </c>
      <c r="B29" s="198" t="s">
        <v>228</v>
      </c>
      <c r="C29" s="12" t="s">
        <v>203</v>
      </c>
      <c r="D29" s="12">
        <v>1</v>
      </c>
      <c r="E29" s="159">
        <f>E61+E61*E49</f>
        <v>924</v>
      </c>
      <c r="F29" s="159">
        <f t="shared" si="1"/>
        <v>924</v>
      </c>
      <c r="G29" s="165">
        <f>'C6A'!G29</f>
        <v>1.8</v>
      </c>
      <c r="H29" s="159">
        <f t="shared" si="0"/>
        <v>1663.2</v>
      </c>
      <c r="I29" s="159">
        <f t="shared" si="2"/>
        <v>2587.1999999999998</v>
      </c>
      <c r="J29" s="127">
        <f t="shared" si="4"/>
        <v>31046.399999999998</v>
      </c>
      <c r="K29" s="95"/>
    </row>
    <row r="30" spans="1:13">
      <c r="A30" s="65">
        <v>3</v>
      </c>
      <c r="B30" s="198" t="s">
        <v>227</v>
      </c>
      <c r="C30" s="12" t="s">
        <v>203</v>
      </c>
      <c r="D30" s="12">
        <f>'C6A'!D29</f>
        <v>1</v>
      </c>
      <c r="E30" s="159">
        <f>'C6A'!E29+'C6A'!E29*'C6B'!$E$49</f>
        <v>1485</v>
      </c>
      <c r="F30" s="159">
        <f t="shared" si="1"/>
        <v>1485</v>
      </c>
      <c r="G30" s="165">
        <f>'C6A'!G30</f>
        <v>1.8</v>
      </c>
      <c r="H30" s="159">
        <f t="shared" si="0"/>
        <v>2673</v>
      </c>
      <c r="I30" s="159">
        <f t="shared" si="2"/>
        <v>4158</v>
      </c>
      <c r="J30" s="127">
        <f t="shared" si="4"/>
        <v>49896</v>
      </c>
      <c r="K30" s="95"/>
    </row>
    <row r="31" spans="1:13">
      <c r="A31" s="65">
        <v>3</v>
      </c>
      <c r="B31" s="198" t="s">
        <v>253</v>
      </c>
      <c r="C31" s="12" t="s">
        <v>204</v>
      </c>
      <c r="D31" s="12">
        <f>'C6A'!D30</f>
        <v>2</v>
      </c>
      <c r="E31" s="159">
        <f>'C6A'!E30+'C6A'!E30*'C6B'!$E$49</f>
        <v>660</v>
      </c>
      <c r="F31" s="159">
        <f t="shared" si="1"/>
        <v>1320</v>
      </c>
      <c r="G31" s="165">
        <f>'C6A'!E46</f>
        <v>1.8</v>
      </c>
      <c r="H31" s="159">
        <f t="shared" si="0"/>
        <v>1188</v>
      </c>
      <c r="I31" s="159">
        <f t="shared" si="2"/>
        <v>3696</v>
      </c>
      <c r="J31" s="127">
        <f>I31*$E$50</f>
        <v>11088</v>
      </c>
      <c r="K31" s="95"/>
    </row>
    <row r="32" spans="1:13" s="110" customFormat="1">
      <c r="A32" s="7"/>
      <c r="B32" s="163" t="s">
        <v>162</v>
      </c>
      <c r="C32" s="8"/>
      <c r="D32" s="8">
        <f>SUM(D8:D31)</f>
        <v>60</v>
      </c>
      <c r="E32" s="131">
        <f>SUM(E8:E31)</f>
        <v>37068.877999999997</v>
      </c>
      <c r="F32" s="131">
        <f>SUM(F8:F31)</f>
        <v>73824.828000000009</v>
      </c>
      <c r="G32" s="8"/>
      <c r="H32" s="131">
        <f>SUM(H8:H31)</f>
        <v>66723.9804</v>
      </c>
      <c r="I32" s="131">
        <f>SUM(I8:I31)</f>
        <v>206709.5184</v>
      </c>
      <c r="J32" s="131">
        <f>SUM(J8:J31)</f>
        <v>2447250.2207999998</v>
      </c>
      <c r="K32" s="115"/>
    </row>
    <row r="33" spans="1:11">
      <c r="B33" s="95"/>
      <c r="G33" s="5"/>
      <c r="H33" s="5"/>
      <c r="I33" s="5"/>
    </row>
    <row r="34" spans="1:11" ht="47.25">
      <c r="C34" s="162" t="s">
        <v>200</v>
      </c>
      <c r="D34" s="164" t="s">
        <v>249</v>
      </c>
      <c r="E34" s="15" t="s">
        <v>37</v>
      </c>
      <c r="F34" s="15" t="s">
        <v>202</v>
      </c>
      <c r="I34" s="108"/>
      <c r="J34" s="200"/>
    </row>
    <row r="35" spans="1:11">
      <c r="A35" s="65">
        <v>1</v>
      </c>
      <c r="B35" s="12" t="s">
        <v>205</v>
      </c>
      <c r="C35" s="11">
        <f>SUMIF($A$8:$A$31,A35,$D$8:$D$31)</f>
        <v>6</v>
      </c>
      <c r="D35" s="127">
        <f>SUMIF($A$8:$A$31,A35,$H$8:$H$31)</f>
        <v>27351.324000000001</v>
      </c>
      <c r="E35" s="127">
        <f>SUMIF($A$8:$A$31,A35,$I$8:$I$31)</f>
        <v>42546.504000000001</v>
      </c>
      <c r="F35" s="127">
        <f>SUMIF($A$8:$A$31,A35,$J$8:$J$31)</f>
        <v>510558.04800000001</v>
      </c>
      <c r="H35" s="108"/>
      <c r="I35" s="200"/>
      <c r="J35" s="108"/>
    </row>
    <row r="36" spans="1:11">
      <c r="A36" s="65">
        <v>2</v>
      </c>
      <c r="B36" s="12" t="s">
        <v>206</v>
      </c>
      <c r="C36" s="11">
        <f>SUMIF($A$8:$A$31,A36,$D$8:$D$31)</f>
        <v>6</v>
      </c>
      <c r="D36" s="127">
        <f>SUMIF($A$8:$A$31,A36,$H$8:$H$31)</f>
        <v>16438.752</v>
      </c>
      <c r="E36" s="127">
        <f>SUMIF($A$8:$A$31,A36,$I$8:$I$31)</f>
        <v>25571.392</v>
      </c>
      <c r="F36" s="127">
        <f>SUMIF($A$8:$A$31,A36,$J$8:$J$31)</f>
        <v>306856.70399999997</v>
      </c>
      <c r="H36" s="108"/>
      <c r="I36" s="200"/>
      <c r="J36" s="108"/>
    </row>
    <row r="37" spans="1:11">
      <c r="A37" s="65">
        <v>3</v>
      </c>
      <c r="B37" s="12" t="s">
        <v>207</v>
      </c>
      <c r="C37" s="11">
        <f>SUMIF($A$8:$A$31,A37,$D$8:$D$31)</f>
        <v>19</v>
      </c>
      <c r="D37" s="127">
        <f>SUMIF($A$8:$A$31,A37,$H$8:$H$31)</f>
        <v>15836.950800000001</v>
      </c>
      <c r="E37" s="127">
        <f>SUMIF($A$8:$A$31,A37,$I$8:$I$31)</f>
        <v>57306.7264</v>
      </c>
      <c r="F37" s="127">
        <f>SUMIF($A$8:$A$31,A37,$J$8:$J$31)</f>
        <v>654416.71680000005</v>
      </c>
      <c r="H37" s="108"/>
      <c r="I37" s="200"/>
      <c r="J37" s="108"/>
    </row>
    <row r="38" spans="1:11">
      <c r="A38" s="65">
        <v>4</v>
      </c>
      <c r="B38" s="12" t="s">
        <v>208</v>
      </c>
      <c r="C38" s="11">
        <f>SUMIF($A$8:$A$31,A38,$D$8:$D$31)</f>
        <v>29</v>
      </c>
      <c r="D38" s="127">
        <f>SUMIF($A$8:$A$31,A38,$H$8:$H$31)</f>
        <v>7096.9535999999998</v>
      </c>
      <c r="E38" s="127">
        <f>SUMIF($A$8:$A$31,A38,$I$8:$I$31)</f>
        <v>81284.895999999993</v>
      </c>
      <c r="F38" s="127">
        <f>SUMIF($A$8:$A$31,A38,$J$8:$J$31)</f>
        <v>975418.75200000021</v>
      </c>
      <c r="H38" s="108"/>
      <c r="I38" s="200"/>
      <c r="J38" s="108"/>
    </row>
    <row r="39" spans="1:11" s="110" customFormat="1">
      <c r="A39" s="7"/>
      <c r="B39" s="163" t="s">
        <v>162</v>
      </c>
      <c r="C39" s="13">
        <f>SUM(C35:C38)</f>
        <v>60</v>
      </c>
      <c r="D39" s="131">
        <f>SUM(D35:D38)</f>
        <v>66723.9804</v>
      </c>
      <c r="E39" s="131">
        <f>SUM(E35:E38)</f>
        <v>206709.5184</v>
      </c>
      <c r="F39" s="131">
        <f>SUM(F35:F38)</f>
        <v>2447250.2208000002</v>
      </c>
      <c r="G39" s="2"/>
      <c r="I39" s="201"/>
    </row>
    <row r="40" spans="1:11">
      <c r="G40" s="5"/>
      <c r="H40" s="5"/>
      <c r="I40" s="5"/>
    </row>
    <row r="41" spans="1:11" ht="31.5">
      <c r="D41" s="162" t="s">
        <v>200</v>
      </c>
      <c r="E41" s="164" t="s">
        <v>298</v>
      </c>
      <c r="F41" s="164" t="s">
        <v>299</v>
      </c>
      <c r="G41" s="15" t="s">
        <v>300</v>
      </c>
      <c r="H41" s="15" t="s">
        <v>202</v>
      </c>
      <c r="J41" s="108"/>
      <c r="K41" s="200"/>
    </row>
    <row r="42" spans="1:11">
      <c r="B42" s="9" t="s">
        <v>209</v>
      </c>
      <c r="C42" s="65" t="s">
        <v>203</v>
      </c>
      <c r="D42" s="138">
        <f>SUMIF(C8:C31,C42,D8:D31)</f>
        <v>58</v>
      </c>
      <c r="E42" s="151">
        <f>SUMIF(C8:C31,C42,F8:F31)</f>
        <v>72504.828000000009</v>
      </c>
      <c r="F42" s="127">
        <f>SUMIF(C8:C31,C42,H8:H31)</f>
        <v>65535.9804</v>
      </c>
      <c r="G42" s="127">
        <f>SUMIF(C8:C31,C42,I8:I31)</f>
        <v>203013.5184</v>
      </c>
      <c r="H42" s="127">
        <f>SUMIF(C8:C31,C42,J8:J31)</f>
        <v>2436162.2207999998</v>
      </c>
      <c r="J42" s="108"/>
      <c r="K42" s="200"/>
    </row>
    <row r="43" spans="1:11">
      <c r="B43" s="9" t="s">
        <v>210</v>
      </c>
      <c r="C43" s="65" t="s">
        <v>204</v>
      </c>
      <c r="D43" s="138">
        <f>SUMIF(C8:C31,C43,D8:D31)</f>
        <v>2</v>
      </c>
      <c r="E43" s="151">
        <f>SUMIF(C8:C31,C43,F8:F31)</f>
        <v>1320</v>
      </c>
      <c r="F43" s="127">
        <f>SUMIF(C8:C31,C43,H8:H31)</f>
        <v>1188</v>
      </c>
      <c r="G43" s="127">
        <f>SUMIF(C8:C31,C43,I8:I31)</f>
        <v>3696</v>
      </c>
      <c r="H43" s="127">
        <f>SUMIF(C8:C31,C43,J8:J31)</f>
        <v>11088</v>
      </c>
      <c r="J43" s="108"/>
      <c r="K43" s="200"/>
    </row>
    <row r="44" spans="1:11" s="110" customFormat="1">
      <c r="A44" s="2"/>
      <c r="B44" s="163" t="s">
        <v>162</v>
      </c>
      <c r="C44" s="7"/>
      <c r="D44" s="137">
        <f>SUM(D42:D43)</f>
        <v>60</v>
      </c>
      <c r="E44" s="131">
        <f>SUM(E42:E43)</f>
        <v>73824.828000000009</v>
      </c>
      <c r="F44" s="131">
        <f>SUM(F42:F43)</f>
        <v>66723.9804</v>
      </c>
      <c r="G44" s="131">
        <f>SUM(G42:G43)</f>
        <v>206709.5184</v>
      </c>
      <c r="H44" s="131">
        <f>SUM(H42:H43)</f>
        <v>2447250.2207999998</v>
      </c>
      <c r="I44" s="2"/>
      <c r="K44" s="201"/>
    </row>
    <row r="45" spans="1:11">
      <c r="E45" s="5"/>
      <c r="F45" s="5"/>
      <c r="H45" s="108"/>
      <c r="I45" s="108"/>
      <c r="J45" s="200"/>
    </row>
    <row r="46" spans="1:11">
      <c r="B46" s="2" t="s">
        <v>95</v>
      </c>
      <c r="H46" s="108"/>
      <c r="I46" s="108"/>
      <c r="J46" s="200"/>
    </row>
    <row r="47" spans="1:11">
      <c r="B47" s="3" t="s">
        <v>248</v>
      </c>
      <c r="E47" s="4">
        <v>1.8</v>
      </c>
      <c r="F47" s="4"/>
      <c r="G47" s="3" t="s">
        <v>252</v>
      </c>
    </row>
    <row r="48" spans="1:11">
      <c r="B48" s="3" t="s">
        <v>23</v>
      </c>
      <c r="E48" s="3">
        <v>12</v>
      </c>
      <c r="G48" s="3" t="s">
        <v>24</v>
      </c>
    </row>
    <row r="49" spans="2:12">
      <c r="B49" s="3" t="s">
        <v>211</v>
      </c>
      <c r="E49" s="4">
        <v>0.1</v>
      </c>
      <c r="F49" s="4"/>
      <c r="G49" s="3" t="s">
        <v>212</v>
      </c>
    </row>
    <row r="50" spans="2:12" s="3" customFormat="1">
      <c r="B50" s="3" t="s">
        <v>254</v>
      </c>
      <c r="D50" s="95"/>
      <c r="E50" s="3">
        <v>3</v>
      </c>
      <c r="J50" s="95"/>
      <c r="K50" s="108"/>
      <c r="L50" s="108"/>
    </row>
    <row r="51" spans="2:12">
      <c r="B51" s="3" t="s">
        <v>265</v>
      </c>
    </row>
    <row r="52" spans="2:12">
      <c r="B52" s="3" t="s">
        <v>264</v>
      </c>
    </row>
    <row r="53" spans="2:12">
      <c r="B53" s="204" t="s">
        <v>266</v>
      </c>
    </row>
    <row r="54" spans="2:12">
      <c r="B54" s="204" t="s">
        <v>267</v>
      </c>
    </row>
    <row r="55" spans="2:12">
      <c r="B55" s="204" t="s">
        <v>268</v>
      </c>
    </row>
    <row r="56" spans="2:12">
      <c r="B56" s="204" t="s">
        <v>269</v>
      </c>
    </row>
    <row r="57" spans="2:12">
      <c r="B57" s="204" t="s">
        <v>270</v>
      </c>
    </row>
    <row r="58" spans="2:12">
      <c r="B58" s="204" t="s">
        <v>271</v>
      </c>
    </row>
    <row r="59" spans="2:12">
      <c r="B59" s="204" t="s">
        <v>272</v>
      </c>
    </row>
    <row r="60" spans="2:12">
      <c r="B60" s="3" t="s">
        <v>273</v>
      </c>
    </row>
    <row r="61" spans="2:12">
      <c r="B61" s="3" t="s">
        <v>274</v>
      </c>
      <c r="E61" s="95">
        <v>840</v>
      </c>
      <c r="F61" s="3" t="s">
        <v>275</v>
      </c>
    </row>
    <row r="62" spans="2:12">
      <c r="B62" s="3" t="s">
        <v>276</v>
      </c>
    </row>
  </sheetData>
  <mergeCells count="3">
    <mergeCell ref="A3:I3"/>
    <mergeCell ref="J6:J7"/>
    <mergeCell ref="E6:I6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G32" sqref="G32"/>
    </sheetView>
  </sheetViews>
  <sheetFormatPr baseColWidth="10" defaultRowHeight="15.75"/>
  <cols>
    <col min="1" max="1" width="7.85546875" style="3" customWidth="1"/>
    <col min="2" max="2" width="37.85546875" style="3" bestFit="1" customWidth="1"/>
    <col min="3" max="3" width="6" style="3" customWidth="1"/>
    <col min="4" max="4" width="4.85546875" style="95" customWidth="1"/>
    <col min="5" max="5" width="17.5703125" style="3" customWidth="1"/>
    <col min="6" max="6" width="17.5703125" style="3" bestFit="1" customWidth="1"/>
    <col min="7" max="7" width="20.5703125" style="3" customWidth="1"/>
    <col min="8" max="8" width="13.28515625" style="3" customWidth="1"/>
    <col min="9" max="9" width="13.7109375" style="3" customWidth="1"/>
    <col min="10" max="10" width="23.7109375" style="95" bestFit="1" customWidth="1"/>
    <col min="11" max="11" width="10.7109375" style="108" bestFit="1" customWidth="1"/>
    <col min="12" max="12" width="20.140625" style="108" customWidth="1"/>
    <col min="13" max="254" width="11.5703125" style="108"/>
    <col min="255" max="255" width="7.85546875" style="108" customWidth="1"/>
    <col min="256" max="256" width="24.5703125" style="108" customWidth="1"/>
    <col min="257" max="257" width="3.7109375" style="108" customWidth="1"/>
    <col min="258" max="258" width="4.85546875" style="108" customWidth="1"/>
    <col min="259" max="259" width="0.85546875" style="108" customWidth="1"/>
    <col min="260" max="260" width="9" style="108" customWidth="1"/>
    <col min="261" max="261" width="10" style="108" customWidth="1"/>
    <col min="262" max="262" width="0.85546875" style="108" customWidth="1"/>
    <col min="263" max="263" width="12.42578125" style="108" customWidth="1"/>
    <col min="264" max="264" width="0.85546875" style="108" customWidth="1"/>
    <col min="265" max="265" width="13.7109375" style="108" customWidth="1"/>
    <col min="266" max="510" width="11.5703125" style="108"/>
    <col min="511" max="511" width="7.85546875" style="108" customWidth="1"/>
    <col min="512" max="512" width="24.5703125" style="108" customWidth="1"/>
    <col min="513" max="513" width="3.7109375" style="108" customWidth="1"/>
    <col min="514" max="514" width="4.85546875" style="108" customWidth="1"/>
    <col min="515" max="515" width="0.85546875" style="108" customWidth="1"/>
    <col min="516" max="516" width="9" style="108" customWidth="1"/>
    <col min="517" max="517" width="10" style="108" customWidth="1"/>
    <col min="518" max="518" width="0.85546875" style="108" customWidth="1"/>
    <col min="519" max="519" width="12.42578125" style="108" customWidth="1"/>
    <col min="520" max="520" width="0.85546875" style="108" customWidth="1"/>
    <col min="521" max="521" width="13.7109375" style="108" customWidth="1"/>
    <col min="522" max="766" width="11.5703125" style="108"/>
    <col min="767" max="767" width="7.85546875" style="108" customWidth="1"/>
    <col min="768" max="768" width="24.5703125" style="108" customWidth="1"/>
    <col min="769" max="769" width="3.7109375" style="108" customWidth="1"/>
    <col min="770" max="770" width="4.85546875" style="108" customWidth="1"/>
    <col min="771" max="771" width="0.85546875" style="108" customWidth="1"/>
    <col min="772" max="772" width="9" style="108" customWidth="1"/>
    <col min="773" max="773" width="10" style="108" customWidth="1"/>
    <col min="774" max="774" width="0.85546875" style="108" customWidth="1"/>
    <col min="775" max="775" width="12.42578125" style="108" customWidth="1"/>
    <col min="776" max="776" width="0.85546875" style="108" customWidth="1"/>
    <col min="777" max="777" width="13.7109375" style="108" customWidth="1"/>
    <col min="778" max="1022" width="11.5703125" style="108"/>
    <col min="1023" max="1023" width="7.85546875" style="108" customWidth="1"/>
    <col min="1024" max="1024" width="24.5703125" style="108" customWidth="1"/>
    <col min="1025" max="1025" width="3.7109375" style="108" customWidth="1"/>
    <col min="1026" max="1026" width="4.85546875" style="108" customWidth="1"/>
    <col min="1027" max="1027" width="0.85546875" style="108" customWidth="1"/>
    <col min="1028" max="1028" width="9" style="108" customWidth="1"/>
    <col min="1029" max="1029" width="10" style="108" customWidth="1"/>
    <col min="1030" max="1030" width="0.85546875" style="108" customWidth="1"/>
    <col min="1031" max="1031" width="12.42578125" style="108" customWidth="1"/>
    <col min="1032" max="1032" width="0.85546875" style="108" customWidth="1"/>
    <col min="1033" max="1033" width="13.7109375" style="108" customWidth="1"/>
    <col min="1034" max="1278" width="11.5703125" style="108"/>
    <col min="1279" max="1279" width="7.85546875" style="108" customWidth="1"/>
    <col min="1280" max="1280" width="24.5703125" style="108" customWidth="1"/>
    <col min="1281" max="1281" width="3.7109375" style="108" customWidth="1"/>
    <col min="1282" max="1282" width="4.85546875" style="108" customWidth="1"/>
    <col min="1283" max="1283" width="0.85546875" style="108" customWidth="1"/>
    <col min="1284" max="1284" width="9" style="108" customWidth="1"/>
    <col min="1285" max="1285" width="10" style="108" customWidth="1"/>
    <col min="1286" max="1286" width="0.85546875" style="108" customWidth="1"/>
    <col min="1287" max="1287" width="12.42578125" style="108" customWidth="1"/>
    <col min="1288" max="1288" width="0.85546875" style="108" customWidth="1"/>
    <col min="1289" max="1289" width="13.7109375" style="108" customWidth="1"/>
    <col min="1290" max="1534" width="11.5703125" style="108"/>
    <col min="1535" max="1535" width="7.85546875" style="108" customWidth="1"/>
    <col min="1536" max="1536" width="24.5703125" style="108" customWidth="1"/>
    <col min="1537" max="1537" width="3.7109375" style="108" customWidth="1"/>
    <col min="1538" max="1538" width="4.85546875" style="108" customWidth="1"/>
    <col min="1539" max="1539" width="0.85546875" style="108" customWidth="1"/>
    <col min="1540" max="1540" width="9" style="108" customWidth="1"/>
    <col min="1541" max="1541" width="10" style="108" customWidth="1"/>
    <col min="1542" max="1542" width="0.85546875" style="108" customWidth="1"/>
    <col min="1543" max="1543" width="12.42578125" style="108" customWidth="1"/>
    <col min="1544" max="1544" width="0.85546875" style="108" customWidth="1"/>
    <col min="1545" max="1545" width="13.7109375" style="108" customWidth="1"/>
    <col min="1546" max="1790" width="11.5703125" style="108"/>
    <col min="1791" max="1791" width="7.85546875" style="108" customWidth="1"/>
    <col min="1792" max="1792" width="24.5703125" style="108" customWidth="1"/>
    <col min="1793" max="1793" width="3.7109375" style="108" customWidth="1"/>
    <col min="1794" max="1794" width="4.85546875" style="108" customWidth="1"/>
    <col min="1795" max="1795" width="0.85546875" style="108" customWidth="1"/>
    <col min="1796" max="1796" width="9" style="108" customWidth="1"/>
    <col min="1797" max="1797" width="10" style="108" customWidth="1"/>
    <col min="1798" max="1798" width="0.85546875" style="108" customWidth="1"/>
    <col min="1799" max="1799" width="12.42578125" style="108" customWidth="1"/>
    <col min="1800" max="1800" width="0.85546875" style="108" customWidth="1"/>
    <col min="1801" max="1801" width="13.7109375" style="108" customWidth="1"/>
    <col min="1802" max="2046" width="11.5703125" style="108"/>
    <col min="2047" max="2047" width="7.85546875" style="108" customWidth="1"/>
    <col min="2048" max="2048" width="24.5703125" style="108" customWidth="1"/>
    <col min="2049" max="2049" width="3.7109375" style="108" customWidth="1"/>
    <col min="2050" max="2050" width="4.85546875" style="108" customWidth="1"/>
    <col min="2051" max="2051" width="0.85546875" style="108" customWidth="1"/>
    <col min="2052" max="2052" width="9" style="108" customWidth="1"/>
    <col min="2053" max="2053" width="10" style="108" customWidth="1"/>
    <col min="2054" max="2054" width="0.85546875" style="108" customWidth="1"/>
    <col min="2055" max="2055" width="12.42578125" style="108" customWidth="1"/>
    <col min="2056" max="2056" width="0.85546875" style="108" customWidth="1"/>
    <col min="2057" max="2057" width="13.7109375" style="108" customWidth="1"/>
    <col min="2058" max="2302" width="11.5703125" style="108"/>
    <col min="2303" max="2303" width="7.85546875" style="108" customWidth="1"/>
    <col min="2304" max="2304" width="24.5703125" style="108" customWidth="1"/>
    <col min="2305" max="2305" width="3.7109375" style="108" customWidth="1"/>
    <col min="2306" max="2306" width="4.85546875" style="108" customWidth="1"/>
    <col min="2307" max="2307" width="0.85546875" style="108" customWidth="1"/>
    <col min="2308" max="2308" width="9" style="108" customWidth="1"/>
    <col min="2309" max="2309" width="10" style="108" customWidth="1"/>
    <col min="2310" max="2310" width="0.85546875" style="108" customWidth="1"/>
    <col min="2311" max="2311" width="12.42578125" style="108" customWidth="1"/>
    <col min="2312" max="2312" width="0.85546875" style="108" customWidth="1"/>
    <col min="2313" max="2313" width="13.7109375" style="108" customWidth="1"/>
    <col min="2314" max="2558" width="11.5703125" style="108"/>
    <col min="2559" max="2559" width="7.85546875" style="108" customWidth="1"/>
    <col min="2560" max="2560" width="24.5703125" style="108" customWidth="1"/>
    <col min="2561" max="2561" width="3.7109375" style="108" customWidth="1"/>
    <col min="2562" max="2562" width="4.85546875" style="108" customWidth="1"/>
    <col min="2563" max="2563" width="0.85546875" style="108" customWidth="1"/>
    <col min="2564" max="2564" width="9" style="108" customWidth="1"/>
    <col min="2565" max="2565" width="10" style="108" customWidth="1"/>
    <col min="2566" max="2566" width="0.85546875" style="108" customWidth="1"/>
    <col min="2567" max="2567" width="12.42578125" style="108" customWidth="1"/>
    <col min="2568" max="2568" width="0.85546875" style="108" customWidth="1"/>
    <col min="2569" max="2569" width="13.7109375" style="108" customWidth="1"/>
    <col min="2570" max="2814" width="11.5703125" style="108"/>
    <col min="2815" max="2815" width="7.85546875" style="108" customWidth="1"/>
    <col min="2816" max="2816" width="24.5703125" style="108" customWidth="1"/>
    <col min="2817" max="2817" width="3.7109375" style="108" customWidth="1"/>
    <col min="2818" max="2818" width="4.85546875" style="108" customWidth="1"/>
    <col min="2819" max="2819" width="0.85546875" style="108" customWidth="1"/>
    <col min="2820" max="2820" width="9" style="108" customWidth="1"/>
    <col min="2821" max="2821" width="10" style="108" customWidth="1"/>
    <col min="2822" max="2822" width="0.85546875" style="108" customWidth="1"/>
    <col min="2823" max="2823" width="12.42578125" style="108" customWidth="1"/>
    <col min="2824" max="2824" width="0.85546875" style="108" customWidth="1"/>
    <col min="2825" max="2825" width="13.7109375" style="108" customWidth="1"/>
    <col min="2826" max="3070" width="11.5703125" style="108"/>
    <col min="3071" max="3071" width="7.85546875" style="108" customWidth="1"/>
    <col min="3072" max="3072" width="24.5703125" style="108" customWidth="1"/>
    <col min="3073" max="3073" width="3.7109375" style="108" customWidth="1"/>
    <col min="3074" max="3074" width="4.85546875" style="108" customWidth="1"/>
    <col min="3075" max="3075" width="0.85546875" style="108" customWidth="1"/>
    <col min="3076" max="3076" width="9" style="108" customWidth="1"/>
    <col min="3077" max="3077" width="10" style="108" customWidth="1"/>
    <col min="3078" max="3078" width="0.85546875" style="108" customWidth="1"/>
    <col min="3079" max="3079" width="12.42578125" style="108" customWidth="1"/>
    <col min="3080" max="3080" width="0.85546875" style="108" customWidth="1"/>
    <col min="3081" max="3081" width="13.7109375" style="108" customWidth="1"/>
    <col min="3082" max="3326" width="11.5703125" style="108"/>
    <col min="3327" max="3327" width="7.85546875" style="108" customWidth="1"/>
    <col min="3328" max="3328" width="24.5703125" style="108" customWidth="1"/>
    <col min="3329" max="3329" width="3.7109375" style="108" customWidth="1"/>
    <col min="3330" max="3330" width="4.85546875" style="108" customWidth="1"/>
    <col min="3331" max="3331" width="0.85546875" style="108" customWidth="1"/>
    <col min="3332" max="3332" width="9" style="108" customWidth="1"/>
    <col min="3333" max="3333" width="10" style="108" customWidth="1"/>
    <col min="3334" max="3334" width="0.85546875" style="108" customWidth="1"/>
    <col min="3335" max="3335" width="12.42578125" style="108" customWidth="1"/>
    <col min="3336" max="3336" width="0.85546875" style="108" customWidth="1"/>
    <col min="3337" max="3337" width="13.7109375" style="108" customWidth="1"/>
    <col min="3338" max="3582" width="11.5703125" style="108"/>
    <col min="3583" max="3583" width="7.85546875" style="108" customWidth="1"/>
    <col min="3584" max="3584" width="24.5703125" style="108" customWidth="1"/>
    <col min="3585" max="3585" width="3.7109375" style="108" customWidth="1"/>
    <col min="3586" max="3586" width="4.85546875" style="108" customWidth="1"/>
    <col min="3587" max="3587" width="0.85546875" style="108" customWidth="1"/>
    <col min="3588" max="3588" width="9" style="108" customWidth="1"/>
    <col min="3589" max="3589" width="10" style="108" customWidth="1"/>
    <col min="3590" max="3590" width="0.85546875" style="108" customWidth="1"/>
    <col min="3591" max="3591" width="12.42578125" style="108" customWidth="1"/>
    <col min="3592" max="3592" width="0.85546875" style="108" customWidth="1"/>
    <col min="3593" max="3593" width="13.7109375" style="108" customWidth="1"/>
    <col min="3594" max="3838" width="11.5703125" style="108"/>
    <col min="3839" max="3839" width="7.85546875" style="108" customWidth="1"/>
    <col min="3840" max="3840" width="24.5703125" style="108" customWidth="1"/>
    <col min="3841" max="3841" width="3.7109375" style="108" customWidth="1"/>
    <col min="3842" max="3842" width="4.85546875" style="108" customWidth="1"/>
    <col min="3843" max="3843" width="0.85546875" style="108" customWidth="1"/>
    <col min="3844" max="3844" width="9" style="108" customWidth="1"/>
    <col min="3845" max="3845" width="10" style="108" customWidth="1"/>
    <col min="3846" max="3846" width="0.85546875" style="108" customWidth="1"/>
    <col min="3847" max="3847" width="12.42578125" style="108" customWidth="1"/>
    <col min="3848" max="3848" width="0.85546875" style="108" customWidth="1"/>
    <col min="3849" max="3849" width="13.7109375" style="108" customWidth="1"/>
    <col min="3850" max="4094" width="11.5703125" style="108"/>
    <col min="4095" max="4095" width="7.85546875" style="108" customWidth="1"/>
    <col min="4096" max="4096" width="24.5703125" style="108" customWidth="1"/>
    <col min="4097" max="4097" width="3.7109375" style="108" customWidth="1"/>
    <col min="4098" max="4098" width="4.85546875" style="108" customWidth="1"/>
    <col min="4099" max="4099" width="0.85546875" style="108" customWidth="1"/>
    <col min="4100" max="4100" width="9" style="108" customWidth="1"/>
    <col min="4101" max="4101" width="10" style="108" customWidth="1"/>
    <col min="4102" max="4102" width="0.85546875" style="108" customWidth="1"/>
    <col min="4103" max="4103" width="12.42578125" style="108" customWidth="1"/>
    <col min="4104" max="4104" width="0.85546875" style="108" customWidth="1"/>
    <col min="4105" max="4105" width="13.7109375" style="108" customWidth="1"/>
    <col min="4106" max="4350" width="11.5703125" style="108"/>
    <col min="4351" max="4351" width="7.85546875" style="108" customWidth="1"/>
    <col min="4352" max="4352" width="24.5703125" style="108" customWidth="1"/>
    <col min="4353" max="4353" width="3.7109375" style="108" customWidth="1"/>
    <col min="4354" max="4354" width="4.85546875" style="108" customWidth="1"/>
    <col min="4355" max="4355" width="0.85546875" style="108" customWidth="1"/>
    <col min="4356" max="4356" width="9" style="108" customWidth="1"/>
    <col min="4357" max="4357" width="10" style="108" customWidth="1"/>
    <col min="4358" max="4358" width="0.85546875" style="108" customWidth="1"/>
    <col min="4359" max="4359" width="12.42578125" style="108" customWidth="1"/>
    <col min="4360" max="4360" width="0.85546875" style="108" customWidth="1"/>
    <col min="4361" max="4361" width="13.7109375" style="108" customWidth="1"/>
    <col min="4362" max="4606" width="11.5703125" style="108"/>
    <col min="4607" max="4607" width="7.85546875" style="108" customWidth="1"/>
    <col min="4608" max="4608" width="24.5703125" style="108" customWidth="1"/>
    <col min="4609" max="4609" width="3.7109375" style="108" customWidth="1"/>
    <col min="4610" max="4610" width="4.85546875" style="108" customWidth="1"/>
    <col min="4611" max="4611" width="0.85546875" style="108" customWidth="1"/>
    <col min="4612" max="4612" width="9" style="108" customWidth="1"/>
    <col min="4613" max="4613" width="10" style="108" customWidth="1"/>
    <col min="4614" max="4614" width="0.85546875" style="108" customWidth="1"/>
    <col min="4615" max="4615" width="12.42578125" style="108" customWidth="1"/>
    <col min="4616" max="4616" width="0.85546875" style="108" customWidth="1"/>
    <col min="4617" max="4617" width="13.7109375" style="108" customWidth="1"/>
    <col min="4618" max="4862" width="11.5703125" style="108"/>
    <col min="4863" max="4863" width="7.85546875" style="108" customWidth="1"/>
    <col min="4864" max="4864" width="24.5703125" style="108" customWidth="1"/>
    <col min="4865" max="4865" width="3.7109375" style="108" customWidth="1"/>
    <col min="4866" max="4866" width="4.85546875" style="108" customWidth="1"/>
    <col min="4867" max="4867" width="0.85546875" style="108" customWidth="1"/>
    <col min="4868" max="4868" width="9" style="108" customWidth="1"/>
    <col min="4869" max="4869" width="10" style="108" customWidth="1"/>
    <col min="4870" max="4870" width="0.85546875" style="108" customWidth="1"/>
    <col min="4871" max="4871" width="12.42578125" style="108" customWidth="1"/>
    <col min="4872" max="4872" width="0.85546875" style="108" customWidth="1"/>
    <col min="4873" max="4873" width="13.7109375" style="108" customWidth="1"/>
    <col min="4874" max="5118" width="11.5703125" style="108"/>
    <col min="5119" max="5119" width="7.85546875" style="108" customWidth="1"/>
    <col min="5120" max="5120" width="24.5703125" style="108" customWidth="1"/>
    <col min="5121" max="5121" width="3.7109375" style="108" customWidth="1"/>
    <col min="5122" max="5122" width="4.85546875" style="108" customWidth="1"/>
    <col min="5123" max="5123" width="0.85546875" style="108" customWidth="1"/>
    <col min="5124" max="5124" width="9" style="108" customWidth="1"/>
    <col min="5125" max="5125" width="10" style="108" customWidth="1"/>
    <col min="5126" max="5126" width="0.85546875" style="108" customWidth="1"/>
    <col min="5127" max="5127" width="12.42578125" style="108" customWidth="1"/>
    <col min="5128" max="5128" width="0.85546875" style="108" customWidth="1"/>
    <col min="5129" max="5129" width="13.7109375" style="108" customWidth="1"/>
    <col min="5130" max="5374" width="11.5703125" style="108"/>
    <col min="5375" max="5375" width="7.85546875" style="108" customWidth="1"/>
    <col min="5376" max="5376" width="24.5703125" style="108" customWidth="1"/>
    <col min="5377" max="5377" width="3.7109375" style="108" customWidth="1"/>
    <col min="5378" max="5378" width="4.85546875" style="108" customWidth="1"/>
    <col min="5379" max="5379" width="0.85546875" style="108" customWidth="1"/>
    <col min="5380" max="5380" width="9" style="108" customWidth="1"/>
    <col min="5381" max="5381" width="10" style="108" customWidth="1"/>
    <col min="5382" max="5382" width="0.85546875" style="108" customWidth="1"/>
    <col min="5383" max="5383" width="12.42578125" style="108" customWidth="1"/>
    <col min="5384" max="5384" width="0.85546875" style="108" customWidth="1"/>
    <col min="5385" max="5385" width="13.7109375" style="108" customWidth="1"/>
    <col min="5386" max="5630" width="11.5703125" style="108"/>
    <col min="5631" max="5631" width="7.85546875" style="108" customWidth="1"/>
    <col min="5632" max="5632" width="24.5703125" style="108" customWidth="1"/>
    <col min="5633" max="5633" width="3.7109375" style="108" customWidth="1"/>
    <col min="5634" max="5634" width="4.85546875" style="108" customWidth="1"/>
    <col min="5635" max="5635" width="0.85546875" style="108" customWidth="1"/>
    <col min="5636" max="5636" width="9" style="108" customWidth="1"/>
    <col min="5637" max="5637" width="10" style="108" customWidth="1"/>
    <col min="5638" max="5638" width="0.85546875" style="108" customWidth="1"/>
    <col min="5639" max="5639" width="12.42578125" style="108" customWidth="1"/>
    <col min="5640" max="5640" width="0.85546875" style="108" customWidth="1"/>
    <col min="5641" max="5641" width="13.7109375" style="108" customWidth="1"/>
    <col min="5642" max="5886" width="11.5703125" style="108"/>
    <col min="5887" max="5887" width="7.85546875" style="108" customWidth="1"/>
    <col min="5888" max="5888" width="24.5703125" style="108" customWidth="1"/>
    <col min="5889" max="5889" width="3.7109375" style="108" customWidth="1"/>
    <col min="5890" max="5890" width="4.85546875" style="108" customWidth="1"/>
    <col min="5891" max="5891" width="0.85546875" style="108" customWidth="1"/>
    <col min="5892" max="5892" width="9" style="108" customWidth="1"/>
    <col min="5893" max="5893" width="10" style="108" customWidth="1"/>
    <col min="5894" max="5894" width="0.85546875" style="108" customWidth="1"/>
    <col min="5895" max="5895" width="12.42578125" style="108" customWidth="1"/>
    <col min="5896" max="5896" width="0.85546875" style="108" customWidth="1"/>
    <col min="5897" max="5897" width="13.7109375" style="108" customWidth="1"/>
    <col min="5898" max="6142" width="11.5703125" style="108"/>
    <col min="6143" max="6143" width="7.85546875" style="108" customWidth="1"/>
    <col min="6144" max="6144" width="24.5703125" style="108" customWidth="1"/>
    <col min="6145" max="6145" width="3.7109375" style="108" customWidth="1"/>
    <col min="6146" max="6146" width="4.85546875" style="108" customWidth="1"/>
    <col min="6147" max="6147" width="0.85546875" style="108" customWidth="1"/>
    <col min="6148" max="6148" width="9" style="108" customWidth="1"/>
    <col min="6149" max="6149" width="10" style="108" customWidth="1"/>
    <col min="6150" max="6150" width="0.85546875" style="108" customWidth="1"/>
    <col min="6151" max="6151" width="12.42578125" style="108" customWidth="1"/>
    <col min="6152" max="6152" width="0.85546875" style="108" customWidth="1"/>
    <col min="6153" max="6153" width="13.7109375" style="108" customWidth="1"/>
    <col min="6154" max="6398" width="11.5703125" style="108"/>
    <col min="6399" max="6399" width="7.85546875" style="108" customWidth="1"/>
    <col min="6400" max="6400" width="24.5703125" style="108" customWidth="1"/>
    <col min="6401" max="6401" width="3.7109375" style="108" customWidth="1"/>
    <col min="6402" max="6402" width="4.85546875" style="108" customWidth="1"/>
    <col min="6403" max="6403" width="0.85546875" style="108" customWidth="1"/>
    <col min="6404" max="6404" width="9" style="108" customWidth="1"/>
    <col min="6405" max="6405" width="10" style="108" customWidth="1"/>
    <col min="6406" max="6406" width="0.85546875" style="108" customWidth="1"/>
    <col min="6407" max="6407" width="12.42578125" style="108" customWidth="1"/>
    <col min="6408" max="6408" width="0.85546875" style="108" customWidth="1"/>
    <col min="6409" max="6409" width="13.7109375" style="108" customWidth="1"/>
    <col min="6410" max="6654" width="11.5703125" style="108"/>
    <col min="6655" max="6655" width="7.85546875" style="108" customWidth="1"/>
    <col min="6656" max="6656" width="24.5703125" style="108" customWidth="1"/>
    <col min="6657" max="6657" width="3.7109375" style="108" customWidth="1"/>
    <col min="6658" max="6658" width="4.85546875" style="108" customWidth="1"/>
    <col min="6659" max="6659" width="0.85546875" style="108" customWidth="1"/>
    <col min="6660" max="6660" width="9" style="108" customWidth="1"/>
    <col min="6661" max="6661" width="10" style="108" customWidth="1"/>
    <col min="6662" max="6662" width="0.85546875" style="108" customWidth="1"/>
    <col min="6663" max="6663" width="12.42578125" style="108" customWidth="1"/>
    <col min="6664" max="6664" width="0.85546875" style="108" customWidth="1"/>
    <col min="6665" max="6665" width="13.7109375" style="108" customWidth="1"/>
    <col min="6666" max="6910" width="11.5703125" style="108"/>
    <col min="6911" max="6911" width="7.85546875" style="108" customWidth="1"/>
    <col min="6912" max="6912" width="24.5703125" style="108" customWidth="1"/>
    <col min="6913" max="6913" width="3.7109375" style="108" customWidth="1"/>
    <col min="6914" max="6914" width="4.85546875" style="108" customWidth="1"/>
    <col min="6915" max="6915" width="0.85546875" style="108" customWidth="1"/>
    <col min="6916" max="6916" width="9" style="108" customWidth="1"/>
    <col min="6917" max="6917" width="10" style="108" customWidth="1"/>
    <col min="6918" max="6918" width="0.85546875" style="108" customWidth="1"/>
    <col min="6919" max="6919" width="12.42578125" style="108" customWidth="1"/>
    <col min="6920" max="6920" width="0.85546875" style="108" customWidth="1"/>
    <col min="6921" max="6921" width="13.7109375" style="108" customWidth="1"/>
    <col min="6922" max="7166" width="11.5703125" style="108"/>
    <col min="7167" max="7167" width="7.85546875" style="108" customWidth="1"/>
    <col min="7168" max="7168" width="24.5703125" style="108" customWidth="1"/>
    <col min="7169" max="7169" width="3.7109375" style="108" customWidth="1"/>
    <col min="7170" max="7170" width="4.85546875" style="108" customWidth="1"/>
    <col min="7171" max="7171" width="0.85546875" style="108" customWidth="1"/>
    <col min="7172" max="7172" width="9" style="108" customWidth="1"/>
    <col min="7173" max="7173" width="10" style="108" customWidth="1"/>
    <col min="7174" max="7174" width="0.85546875" style="108" customWidth="1"/>
    <col min="7175" max="7175" width="12.42578125" style="108" customWidth="1"/>
    <col min="7176" max="7176" width="0.85546875" style="108" customWidth="1"/>
    <col min="7177" max="7177" width="13.7109375" style="108" customWidth="1"/>
    <col min="7178" max="7422" width="11.5703125" style="108"/>
    <col min="7423" max="7423" width="7.85546875" style="108" customWidth="1"/>
    <col min="7424" max="7424" width="24.5703125" style="108" customWidth="1"/>
    <col min="7425" max="7425" width="3.7109375" style="108" customWidth="1"/>
    <col min="7426" max="7426" width="4.85546875" style="108" customWidth="1"/>
    <col min="7427" max="7427" width="0.85546875" style="108" customWidth="1"/>
    <col min="7428" max="7428" width="9" style="108" customWidth="1"/>
    <col min="7429" max="7429" width="10" style="108" customWidth="1"/>
    <col min="7430" max="7430" width="0.85546875" style="108" customWidth="1"/>
    <col min="7431" max="7431" width="12.42578125" style="108" customWidth="1"/>
    <col min="7432" max="7432" width="0.85546875" style="108" customWidth="1"/>
    <col min="7433" max="7433" width="13.7109375" style="108" customWidth="1"/>
    <col min="7434" max="7678" width="11.5703125" style="108"/>
    <col min="7679" max="7679" width="7.85546875" style="108" customWidth="1"/>
    <col min="7680" max="7680" width="24.5703125" style="108" customWidth="1"/>
    <col min="7681" max="7681" width="3.7109375" style="108" customWidth="1"/>
    <col min="7682" max="7682" width="4.85546875" style="108" customWidth="1"/>
    <col min="7683" max="7683" width="0.85546875" style="108" customWidth="1"/>
    <col min="7684" max="7684" width="9" style="108" customWidth="1"/>
    <col min="7685" max="7685" width="10" style="108" customWidth="1"/>
    <col min="7686" max="7686" width="0.85546875" style="108" customWidth="1"/>
    <col min="7687" max="7687" width="12.42578125" style="108" customWidth="1"/>
    <col min="7688" max="7688" width="0.85546875" style="108" customWidth="1"/>
    <col min="7689" max="7689" width="13.7109375" style="108" customWidth="1"/>
    <col min="7690" max="7934" width="11.5703125" style="108"/>
    <col min="7935" max="7935" width="7.85546875" style="108" customWidth="1"/>
    <col min="7936" max="7936" width="24.5703125" style="108" customWidth="1"/>
    <col min="7937" max="7937" width="3.7109375" style="108" customWidth="1"/>
    <col min="7938" max="7938" width="4.85546875" style="108" customWidth="1"/>
    <col min="7939" max="7939" width="0.85546875" style="108" customWidth="1"/>
    <col min="7940" max="7940" width="9" style="108" customWidth="1"/>
    <col min="7941" max="7941" width="10" style="108" customWidth="1"/>
    <col min="7942" max="7942" width="0.85546875" style="108" customWidth="1"/>
    <col min="7943" max="7943" width="12.42578125" style="108" customWidth="1"/>
    <col min="7944" max="7944" width="0.85546875" style="108" customWidth="1"/>
    <col min="7945" max="7945" width="13.7109375" style="108" customWidth="1"/>
    <col min="7946" max="8190" width="11.5703125" style="108"/>
    <col min="8191" max="8191" width="7.85546875" style="108" customWidth="1"/>
    <col min="8192" max="8192" width="24.5703125" style="108" customWidth="1"/>
    <col min="8193" max="8193" width="3.7109375" style="108" customWidth="1"/>
    <col min="8194" max="8194" width="4.85546875" style="108" customWidth="1"/>
    <col min="8195" max="8195" width="0.85546875" style="108" customWidth="1"/>
    <col min="8196" max="8196" width="9" style="108" customWidth="1"/>
    <col min="8197" max="8197" width="10" style="108" customWidth="1"/>
    <col min="8198" max="8198" width="0.85546875" style="108" customWidth="1"/>
    <col min="8199" max="8199" width="12.42578125" style="108" customWidth="1"/>
    <col min="8200" max="8200" width="0.85546875" style="108" customWidth="1"/>
    <col min="8201" max="8201" width="13.7109375" style="108" customWidth="1"/>
    <col min="8202" max="8446" width="11.5703125" style="108"/>
    <col min="8447" max="8447" width="7.85546875" style="108" customWidth="1"/>
    <col min="8448" max="8448" width="24.5703125" style="108" customWidth="1"/>
    <col min="8449" max="8449" width="3.7109375" style="108" customWidth="1"/>
    <col min="8450" max="8450" width="4.85546875" style="108" customWidth="1"/>
    <col min="8451" max="8451" width="0.85546875" style="108" customWidth="1"/>
    <col min="8452" max="8452" width="9" style="108" customWidth="1"/>
    <col min="8453" max="8453" width="10" style="108" customWidth="1"/>
    <col min="8454" max="8454" width="0.85546875" style="108" customWidth="1"/>
    <col min="8455" max="8455" width="12.42578125" style="108" customWidth="1"/>
    <col min="8456" max="8456" width="0.85546875" style="108" customWidth="1"/>
    <col min="8457" max="8457" width="13.7109375" style="108" customWidth="1"/>
    <col min="8458" max="8702" width="11.5703125" style="108"/>
    <col min="8703" max="8703" width="7.85546875" style="108" customWidth="1"/>
    <col min="8704" max="8704" width="24.5703125" style="108" customWidth="1"/>
    <col min="8705" max="8705" width="3.7109375" style="108" customWidth="1"/>
    <col min="8706" max="8706" width="4.85546875" style="108" customWidth="1"/>
    <col min="8707" max="8707" width="0.85546875" style="108" customWidth="1"/>
    <col min="8708" max="8708" width="9" style="108" customWidth="1"/>
    <col min="8709" max="8709" width="10" style="108" customWidth="1"/>
    <col min="8710" max="8710" width="0.85546875" style="108" customWidth="1"/>
    <col min="8711" max="8711" width="12.42578125" style="108" customWidth="1"/>
    <col min="8712" max="8712" width="0.85546875" style="108" customWidth="1"/>
    <col min="8713" max="8713" width="13.7109375" style="108" customWidth="1"/>
    <col min="8714" max="8958" width="11.5703125" style="108"/>
    <col min="8959" max="8959" width="7.85546875" style="108" customWidth="1"/>
    <col min="8960" max="8960" width="24.5703125" style="108" customWidth="1"/>
    <col min="8961" max="8961" width="3.7109375" style="108" customWidth="1"/>
    <col min="8962" max="8962" width="4.85546875" style="108" customWidth="1"/>
    <col min="8963" max="8963" width="0.85546875" style="108" customWidth="1"/>
    <col min="8964" max="8964" width="9" style="108" customWidth="1"/>
    <col min="8965" max="8965" width="10" style="108" customWidth="1"/>
    <col min="8966" max="8966" width="0.85546875" style="108" customWidth="1"/>
    <col min="8967" max="8967" width="12.42578125" style="108" customWidth="1"/>
    <col min="8968" max="8968" width="0.85546875" style="108" customWidth="1"/>
    <col min="8969" max="8969" width="13.7109375" style="108" customWidth="1"/>
    <col min="8970" max="9214" width="11.5703125" style="108"/>
    <col min="9215" max="9215" width="7.85546875" style="108" customWidth="1"/>
    <col min="9216" max="9216" width="24.5703125" style="108" customWidth="1"/>
    <col min="9217" max="9217" width="3.7109375" style="108" customWidth="1"/>
    <col min="9218" max="9218" width="4.85546875" style="108" customWidth="1"/>
    <col min="9219" max="9219" width="0.85546875" style="108" customWidth="1"/>
    <col min="9220" max="9220" width="9" style="108" customWidth="1"/>
    <col min="9221" max="9221" width="10" style="108" customWidth="1"/>
    <col min="9222" max="9222" width="0.85546875" style="108" customWidth="1"/>
    <col min="9223" max="9223" width="12.42578125" style="108" customWidth="1"/>
    <col min="9224" max="9224" width="0.85546875" style="108" customWidth="1"/>
    <col min="9225" max="9225" width="13.7109375" style="108" customWidth="1"/>
    <col min="9226" max="9470" width="11.5703125" style="108"/>
    <col min="9471" max="9471" width="7.85546875" style="108" customWidth="1"/>
    <col min="9472" max="9472" width="24.5703125" style="108" customWidth="1"/>
    <col min="9473" max="9473" width="3.7109375" style="108" customWidth="1"/>
    <col min="9474" max="9474" width="4.85546875" style="108" customWidth="1"/>
    <col min="9475" max="9475" width="0.85546875" style="108" customWidth="1"/>
    <col min="9476" max="9476" width="9" style="108" customWidth="1"/>
    <col min="9477" max="9477" width="10" style="108" customWidth="1"/>
    <col min="9478" max="9478" width="0.85546875" style="108" customWidth="1"/>
    <col min="9479" max="9479" width="12.42578125" style="108" customWidth="1"/>
    <col min="9480" max="9480" width="0.85546875" style="108" customWidth="1"/>
    <col min="9481" max="9481" width="13.7109375" style="108" customWidth="1"/>
    <col min="9482" max="9726" width="11.5703125" style="108"/>
    <col min="9727" max="9727" width="7.85546875" style="108" customWidth="1"/>
    <col min="9728" max="9728" width="24.5703125" style="108" customWidth="1"/>
    <col min="9729" max="9729" width="3.7109375" style="108" customWidth="1"/>
    <col min="9730" max="9730" width="4.85546875" style="108" customWidth="1"/>
    <col min="9731" max="9731" width="0.85546875" style="108" customWidth="1"/>
    <col min="9732" max="9732" width="9" style="108" customWidth="1"/>
    <col min="9733" max="9733" width="10" style="108" customWidth="1"/>
    <col min="9734" max="9734" width="0.85546875" style="108" customWidth="1"/>
    <col min="9735" max="9735" width="12.42578125" style="108" customWidth="1"/>
    <col min="9736" max="9736" width="0.85546875" style="108" customWidth="1"/>
    <col min="9737" max="9737" width="13.7109375" style="108" customWidth="1"/>
    <col min="9738" max="9982" width="11.5703125" style="108"/>
    <col min="9983" max="9983" width="7.85546875" style="108" customWidth="1"/>
    <col min="9984" max="9984" width="24.5703125" style="108" customWidth="1"/>
    <col min="9985" max="9985" width="3.7109375" style="108" customWidth="1"/>
    <col min="9986" max="9986" width="4.85546875" style="108" customWidth="1"/>
    <col min="9987" max="9987" width="0.85546875" style="108" customWidth="1"/>
    <col min="9988" max="9988" width="9" style="108" customWidth="1"/>
    <col min="9989" max="9989" width="10" style="108" customWidth="1"/>
    <col min="9990" max="9990" width="0.85546875" style="108" customWidth="1"/>
    <col min="9991" max="9991" width="12.42578125" style="108" customWidth="1"/>
    <col min="9992" max="9992" width="0.85546875" style="108" customWidth="1"/>
    <col min="9993" max="9993" width="13.7109375" style="108" customWidth="1"/>
    <col min="9994" max="10238" width="11.5703125" style="108"/>
    <col min="10239" max="10239" width="7.85546875" style="108" customWidth="1"/>
    <col min="10240" max="10240" width="24.5703125" style="108" customWidth="1"/>
    <col min="10241" max="10241" width="3.7109375" style="108" customWidth="1"/>
    <col min="10242" max="10242" width="4.85546875" style="108" customWidth="1"/>
    <col min="10243" max="10243" width="0.85546875" style="108" customWidth="1"/>
    <col min="10244" max="10244" width="9" style="108" customWidth="1"/>
    <col min="10245" max="10245" width="10" style="108" customWidth="1"/>
    <col min="10246" max="10246" width="0.85546875" style="108" customWidth="1"/>
    <col min="10247" max="10247" width="12.42578125" style="108" customWidth="1"/>
    <col min="10248" max="10248" width="0.85546875" style="108" customWidth="1"/>
    <col min="10249" max="10249" width="13.7109375" style="108" customWidth="1"/>
    <col min="10250" max="10494" width="11.5703125" style="108"/>
    <col min="10495" max="10495" width="7.85546875" style="108" customWidth="1"/>
    <col min="10496" max="10496" width="24.5703125" style="108" customWidth="1"/>
    <col min="10497" max="10497" width="3.7109375" style="108" customWidth="1"/>
    <col min="10498" max="10498" width="4.85546875" style="108" customWidth="1"/>
    <col min="10499" max="10499" width="0.85546875" style="108" customWidth="1"/>
    <col min="10500" max="10500" width="9" style="108" customWidth="1"/>
    <col min="10501" max="10501" width="10" style="108" customWidth="1"/>
    <col min="10502" max="10502" width="0.85546875" style="108" customWidth="1"/>
    <col min="10503" max="10503" width="12.42578125" style="108" customWidth="1"/>
    <col min="10504" max="10504" width="0.85546875" style="108" customWidth="1"/>
    <col min="10505" max="10505" width="13.7109375" style="108" customWidth="1"/>
    <col min="10506" max="10750" width="11.5703125" style="108"/>
    <col min="10751" max="10751" width="7.85546875" style="108" customWidth="1"/>
    <col min="10752" max="10752" width="24.5703125" style="108" customWidth="1"/>
    <col min="10753" max="10753" width="3.7109375" style="108" customWidth="1"/>
    <col min="10754" max="10754" width="4.85546875" style="108" customWidth="1"/>
    <col min="10755" max="10755" width="0.85546875" style="108" customWidth="1"/>
    <col min="10756" max="10756" width="9" style="108" customWidth="1"/>
    <col min="10757" max="10757" width="10" style="108" customWidth="1"/>
    <col min="10758" max="10758" width="0.85546875" style="108" customWidth="1"/>
    <col min="10759" max="10759" width="12.42578125" style="108" customWidth="1"/>
    <col min="10760" max="10760" width="0.85546875" style="108" customWidth="1"/>
    <col min="10761" max="10761" width="13.7109375" style="108" customWidth="1"/>
    <col min="10762" max="11006" width="11.5703125" style="108"/>
    <col min="11007" max="11007" width="7.85546875" style="108" customWidth="1"/>
    <col min="11008" max="11008" width="24.5703125" style="108" customWidth="1"/>
    <col min="11009" max="11009" width="3.7109375" style="108" customWidth="1"/>
    <col min="11010" max="11010" width="4.85546875" style="108" customWidth="1"/>
    <col min="11011" max="11011" width="0.85546875" style="108" customWidth="1"/>
    <col min="11012" max="11012" width="9" style="108" customWidth="1"/>
    <col min="11013" max="11013" width="10" style="108" customWidth="1"/>
    <col min="11014" max="11014" width="0.85546875" style="108" customWidth="1"/>
    <col min="11015" max="11015" width="12.42578125" style="108" customWidth="1"/>
    <col min="11016" max="11016" width="0.85546875" style="108" customWidth="1"/>
    <col min="11017" max="11017" width="13.7109375" style="108" customWidth="1"/>
    <col min="11018" max="11262" width="11.5703125" style="108"/>
    <col min="11263" max="11263" width="7.85546875" style="108" customWidth="1"/>
    <col min="11264" max="11264" width="24.5703125" style="108" customWidth="1"/>
    <col min="11265" max="11265" width="3.7109375" style="108" customWidth="1"/>
    <col min="11266" max="11266" width="4.85546875" style="108" customWidth="1"/>
    <col min="11267" max="11267" width="0.85546875" style="108" customWidth="1"/>
    <col min="11268" max="11268" width="9" style="108" customWidth="1"/>
    <col min="11269" max="11269" width="10" style="108" customWidth="1"/>
    <col min="11270" max="11270" width="0.85546875" style="108" customWidth="1"/>
    <col min="11271" max="11271" width="12.42578125" style="108" customWidth="1"/>
    <col min="11272" max="11272" width="0.85546875" style="108" customWidth="1"/>
    <col min="11273" max="11273" width="13.7109375" style="108" customWidth="1"/>
    <col min="11274" max="11518" width="11.5703125" style="108"/>
    <col min="11519" max="11519" width="7.85546875" style="108" customWidth="1"/>
    <col min="11520" max="11520" width="24.5703125" style="108" customWidth="1"/>
    <col min="11521" max="11521" width="3.7109375" style="108" customWidth="1"/>
    <col min="11522" max="11522" width="4.85546875" style="108" customWidth="1"/>
    <col min="11523" max="11523" width="0.85546875" style="108" customWidth="1"/>
    <col min="11524" max="11524" width="9" style="108" customWidth="1"/>
    <col min="11525" max="11525" width="10" style="108" customWidth="1"/>
    <col min="11526" max="11526" width="0.85546875" style="108" customWidth="1"/>
    <col min="11527" max="11527" width="12.42578125" style="108" customWidth="1"/>
    <col min="11528" max="11528" width="0.85546875" style="108" customWidth="1"/>
    <col min="11529" max="11529" width="13.7109375" style="108" customWidth="1"/>
    <col min="11530" max="11774" width="11.5703125" style="108"/>
    <col min="11775" max="11775" width="7.85546875" style="108" customWidth="1"/>
    <col min="11776" max="11776" width="24.5703125" style="108" customWidth="1"/>
    <col min="11777" max="11777" width="3.7109375" style="108" customWidth="1"/>
    <col min="11778" max="11778" width="4.85546875" style="108" customWidth="1"/>
    <col min="11779" max="11779" width="0.85546875" style="108" customWidth="1"/>
    <col min="11780" max="11780" width="9" style="108" customWidth="1"/>
    <col min="11781" max="11781" width="10" style="108" customWidth="1"/>
    <col min="11782" max="11782" width="0.85546875" style="108" customWidth="1"/>
    <col min="11783" max="11783" width="12.42578125" style="108" customWidth="1"/>
    <col min="11784" max="11784" width="0.85546875" style="108" customWidth="1"/>
    <col min="11785" max="11785" width="13.7109375" style="108" customWidth="1"/>
    <col min="11786" max="12030" width="11.5703125" style="108"/>
    <col min="12031" max="12031" width="7.85546875" style="108" customWidth="1"/>
    <col min="12032" max="12032" width="24.5703125" style="108" customWidth="1"/>
    <col min="12033" max="12033" width="3.7109375" style="108" customWidth="1"/>
    <col min="12034" max="12034" width="4.85546875" style="108" customWidth="1"/>
    <col min="12035" max="12035" width="0.85546875" style="108" customWidth="1"/>
    <col min="12036" max="12036" width="9" style="108" customWidth="1"/>
    <col min="12037" max="12037" width="10" style="108" customWidth="1"/>
    <col min="12038" max="12038" width="0.85546875" style="108" customWidth="1"/>
    <col min="12039" max="12039" width="12.42578125" style="108" customWidth="1"/>
    <col min="12040" max="12040" width="0.85546875" style="108" customWidth="1"/>
    <col min="12041" max="12041" width="13.7109375" style="108" customWidth="1"/>
    <col min="12042" max="12286" width="11.5703125" style="108"/>
    <col min="12287" max="12287" width="7.85546875" style="108" customWidth="1"/>
    <col min="12288" max="12288" width="24.5703125" style="108" customWidth="1"/>
    <col min="12289" max="12289" width="3.7109375" style="108" customWidth="1"/>
    <col min="12290" max="12290" width="4.85546875" style="108" customWidth="1"/>
    <col min="12291" max="12291" width="0.85546875" style="108" customWidth="1"/>
    <col min="12292" max="12292" width="9" style="108" customWidth="1"/>
    <col min="12293" max="12293" width="10" style="108" customWidth="1"/>
    <col min="12294" max="12294" width="0.85546875" style="108" customWidth="1"/>
    <col min="12295" max="12295" width="12.42578125" style="108" customWidth="1"/>
    <col min="12296" max="12296" width="0.85546875" style="108" customWidth="1"/>
    <col min="12297" max="12297" width="13.7109375" style="108" customWidth="1"/>
    <col min="12298" max="12542" width="11.5703125" style="108"/>
    <col min="12543" max="12543" width="7.85546875" style="108" customWidth="1"/>
    <col min="12544" max="12544" width="24.5703125" style="108" customWidth="1"/>
    <col min="12545" max="12545" width="3.7109375" style="108" customWidth="1"/>
    <col min="12546" max="12546" width="4.85546875" style="108" customWidth="1"/>
    <col min="12547" max="12547" width="0.85546875" style="108" customWidth="1"/>
    <col min="12548" max="12548" width="9" style="108" customWidth="1"/>
    <col min="12549" max="12549" width="10" style="108" customWidth="1"/>
    <col min="12550" max="12550" width="0.85546875" style="108" customWidth="1"/>
    <col min="12551" max="12551" width="12.42578125" style="108" customWidth="1"/>
    <col min="12552" max="12552" width="0.85546875" style="108" customWidth="1"/>
    <col min="12553" max="12553" width="13.7109375" style="108" customWidth="1"/>
    <col min="12554" max="12798" width="11.5703125" style="108"/>
    <col min="12799" max="12799" width="7.85546875" style="108" customWidth="1"/>
    <col min="12800" max="12800" width="24.5703125" style="108" customWidth="1"/>
    <col min="12801" max="12801" width="3.7109375" style="108" customWidth="1"/>
    <col min="12802" max="12802" width="4.85546875" style="108" customWidth="1"/>
    <col min="12803" max="12803" width="0.85546875" style="108" customWidth="1"/>
    <col min="12804" max="12804" width="9" style="108" customWidth="1"/>
    <col min="12805" max="12805" width="10" style="108" customWidth="1"/>
    <col min="12806" max="12806" width="0.85546875" style="108" customWidth="1"/>
    <col min="12807" max="12807" width="12.42578125" style="108" customWidth="1"/>
    <col min="12808" max="12808" width="0.85546875" style="108" customWidth="1"/>
    <col min="12809" max="12809" width="13.7109375" style="108" customWidth="1"/>
    <col min="12810" max="13054" width="11.5703125" style="108"/>
    <col min="13055" max="13055" width="7.85546875" style="108" customWidth="1"/>
    <col min="13056" max="13056" width="24.5703125" style="108" customWidth="1"/>
    <col min="13057" max="13057" width="3.7109375" style="108" customWidth="1"/>
    <col min="13058" max="13058" width="4.85546875" style="108" customWidth="1"/>
    <col min="13059" max="13059" width="0.85546875" style="108" customWidth="1"/>
    <col min="13060" max="13060" width="9" style="108" customWidth="1"/>
    <col min="13061" max="13061" width="10" style="108" customWidth="1"/>
    <col min="13062" max="13062" width="0.85546875" style="108" customWidth="1"/>
    <col min="13063" max="13063" width="12.42578125" style="108" customWidth="1"/>
    <col min="13064" max="13064" width="0.85546875" style="108" customWidth="1"/>
    <col min="13065" max="13065" width="13.7109375" style="108" customWidth="1"/>
    <col min="13066" max="13310" width="11.5703125" style="108"/>
    <col min="13311" max="13311" width="7.85546875" style="108" customWidth="1"/>
    <col min="13312" max="13312" width="24.5703125" style="108" customWidth="1"/>
    <col min="13313" max="13313" width="3.7109375" style="108" customWidth="1"/>
    <col min="13314" max="13314" width="4.85546875" style="108" customWidth="1"/>
    <col min="13315" max="13315" width="0.85546875" style="108" customWidth="1"/>
    <col min="13316" max="13316" width="9" style="108" customWidth="1"/>
    <col min="13317" max="13317" width="10" style="108" customWidth="1"/>
    <col min="13318" max="13318" width="0.85546875" style="108" customWidth="1"/>
    <col min="13319" max="13319" width="12.42578125" style="108" customWidth="1"/>
    <col min="13320" max="13320" width="0.85546875" style="108" customWidth="1"/>
    <col min="13321" max="13321" width="13.7109375" style="108" customWidth="1"/>
    <col min="13322" max="13566" width="11.5703125" style="108"/>
    <col min="13567" max="13567" width="7.85546875" style="108" customWidth="1"/>
    <col min="13568" max="13568" width="24.5703125" style="108" customWidth="1"/>
    <col min="13569" max="13569" width="3.7109375" style="108" customWidth="1"/>
    <col min="13570" max="13570" width="4.85546875" style="108" customWidth="1"/>
    <col min="13571" max="13571" width="0.85546875" style="108" customWidth="1"/>
    <col min="13572" max="13572" width="9" style="108" customWidth="1"/>
    <col min="13573" max="13573" width="10" style="108" customWidth="1"/>
    <col min="13574" max="13574" width="0.85546875" style="108" customWidth="1"/>
    <col min="13575" max="13575" width="12.42578125" style="108" customWidth="1"/>
    <col min="13576" max="13576" width="0.85546875" style="108" customWidth="1"/>
    <col min="13577" max="13577" width="13.7109375" style="108" customWidth="1"/>
    <col min="13578" max="13822" width="11.5703125" style="108"/>
    <col min="13823" max="13823" width="7.85546875" style="108" customWidth="1"/>
    <col min="13824" max="13824" width="24.5703125" style="108" customWidth="1"/>
    <col min="13825" max="13825" width="3.7109375" style="108" customWidth="1"/>
    <col min="13826" max="13826" width="4.85546875" style="108" customWidth="1"/>
    <col min="13827" max="13827" width="0.85546875" style="108" customWidth="1"/>
    <col min="13828" max="13828" width="9" style="108" customWidth="1"/>
    <col min="13829" max="13829" width="10" style="108" customWidth="1"/>
    <col min="13830" max="13830" width="0.85546875" style="108" customWidth="1"/>
    <col min="13831" max="13831" width="12.42578125" style="108" customWidth="1"/>
    <col min="13832" max="13832" width="0.85546875" style="108" customWidth="1"/>
    <col min="13833" max="13833" width="13.7109375" style="108" customWidth="1"/>
    <col min="13834" max="14078" width="11.5703125" style="108"/>
    <col min="14079" max="14079" width="7.85546875" style="108" customWidth="1"/>
    <col min="14080" max="14080" width="24.5703125" style="108" customWidth="1"/>
    <col min="14081" max="14081" width="3.7109375" style="108" customWidth="1"/>
    <col min="14082" max="14082" width="4.85546875" style="108" customWidth="1"/>
    <col min="14083" max="14083" width="0.85546875" style="108" customWidth="1"/>
    <col min="14084" max="14084" width="9" style="108" customWidth="1"/>
    <col min="14085" max="14085" width="10" style="108" customWidth="1"/>
    <col min="14086" max="14086" width="0.85546875" style="108" customWidth="1"/>
    <col min="14087" max="14087" width="12.42578125" style="108" customWidth="1"/>
    <col min="14088" max="14088" width="0.85546875" style="108" customWidth="1"/>
    <col min="14089" max="14089" width="13.7109375" style="108" customWidth="1"/>
    <col min="14090" max="14334" width="11.5703125" style="108"/>
    <col min="14335" max="14335" width="7.85546875" style="108" customWidth="1"/>
    <col min="14336" max="14336" width="24.5703125" style="108" customWidth="1"/>
    <col min="14337" max="14337" width="3.7109375" style="108" customWidth="1"/>
    <col min="14338" max="14338" width="4.85546875" style="108" customWidth="1"/>
    <col min="14339" max="14339" width="0.85546875" style="108" customWidth="1"/>
    <col min="14340" max="14340" width="9" style="108" customWidth="1"/>
    <col min="14341" max="14341" width="10" style="108" customWidth="1"/>
    <col min="14342" max="14342" width="0.85546875" style="108" customWidth="1"/>
    <col min="14343" max="14343" width="12.42578125" style="108" customWidth="1"/>
    <col min="14344" max="14344" width="0.85546875" style="108" customWidth="1"/>
    <col min="14345" max="14345" width="13.7109375" style="108" customWidth="1"/>
    <col min="14346" max="14590" width="11.5703125" style="108"/>
    <col min="14591" max="14591" width="7.85546875" style="108" customWidth="1"/>
    <col min="14592" max="14592" width="24.5703125" style="108" customWidth="1"/>
    <col min="14593" max="14593" width="3.7109375" style="108" customWidth="1"/>
    <col min="14594" max="14594" width="4.85546875" style="108" customWidth="1"/>
    <col min="14595" max="14595" width="0.85546875" style="108" customWidth="1"/>
    <col min="14596" max="14596" width="9" style="108" customWidth="1"/>
    <col min="14597" max="14597" width="10" style="108" customWidth="1"/>
    <col min="14598" max="14598" width="0.85546875" style="108" customWidth="1"/>
    <col min="14599" max="14599" width="12.42578125" style="108" customWidth="1"/>
    <col min="14600" max="14600" width="0.85546875" style="108" customWidth="1"/>
    <col min="14601" max="14601" width="13.7109375" style="108" customWidth="1"/>
    <col min="14602" max="14846" width="11.5703125" style="108"/>
    <col min="14847" max="14847" width="7.85546875" style="108" customWidth="1"/>
    <col min="14848" max="14848" width="24.5703125" style="108" customWidth="1"/>
    <col min="14849" max="14849" width="3.7109375" style="108" customWidth="1"/>
    <col min="14850" max="14850" width="4.85546875" style="108" customWidth="1"/>
    <col min="14851" max="14851" width="0.85546875" style="108" customWidth="1"/>
    <col min="14852" max="14852" width="9" style="108" customWidth="1"/>
    <col min="14853" max="14853" width="10" style="108" customWidth="1"/>
    <col min="14854" max="14854" width="0.85546875" style="108" customWidth="1"/>
    <col min="14855" max="14855" width="12.42578125" style="108" customWidth="1"/>
    <col min="14856" max="14856" width="0.85546875" style="108" customWidth="1"/>
    <col min="14857" max="14857" width="13.7109375" style="108" customWidth="1"/>
    <col min="14858" max="15102" width="11.5703125" style="108"/>
    <col min="15103" max="15103" width="7.85546875" style="108" customWidth="1"/>
    <col min="15104" max="15104" width="24.5703125" style="108" customWidth="1"/>
    <col min="15105" max="15105" width="3.7109375" style="108" customWidth="1"/>
    <col min="15106" max="15106" width="4.85546875" style="108" customWidth="1"/>
    <col min="15107" max="15107" width="0.85546875" style="108" customWidth="1"/>
    <col min="15108" max="15108" width="9" style="108" customWidth="1"/>
    <col min="15109" max="15109" width="10" style="108" customWidth="1"/>
    <col min="15110" max="15110" width="0.85546875" style="108" customWidth="1"/>
    <col min="15111" max="15111" width="12.42578125" style="108" customWidth="1"/>
    <col min="15112" max="15112" width="0.85546875" style="108" customWidth="1"/>
    <col min="15113" max="15113" width="13.7109375" style="108" customWidth="1"/>
    <col min="15114" max="15358" width="11.5703125" style="108"/>
    <col min="15359" max="15359" width="7.85546875" style="108" customWidth="1"/>
    <col min="15360" max="15360" width="24.5703125" style="108" customWidth="1"/>
    <col min="15361" max="15361" width="3.7109375" style="108" customWidth="1"/>
    <col min="15362" max="15362" width="4.85546875" style="108" customWidth="1"/>
    <col min="15363" max="15363" width="0.85546875" style="108" customWidth="1"/>
    <col min="15364" max="15364" width="9" style="108" customWidth="1"/>
    <col min="15365" max="15365" width="10" style="108" customWidth="1"/>
    <col min="15366" max="15366" width="0.85546875" style="108" customWidth="1"/>
    <col min="15367" max="15367" width="12.42578125" style="108" customWidth="1"/>
    <col min="15368" max="15368" width="0.85546875" style="108" customWidth="1"/>
    <col min="15369" max="15369" width="13.7109375" style="108" customWidth="1"/>
    <col min="15370" max="15614" width="11.5703125" style="108"/>
    <col min="15615" max="15615" width="7.85546875" style="108" customWidth="1"/>
    <col min="15616" max="15616" width="24.5703125" style="108" customWidth="1"/>
    <col min="15617" max="15617" width="3.7109375" style="108" customWidth="1"/>
    <col min="15618" max="15618" width="4.85546875" style="108" customWidth="1"/>
    <col min="15619" max="15619" width="0.85546875" style="108" customWidth="1"/>
    <col min="15620" max="15620" width="9" style="108" customWidth="1"/>
    <col min="15621" max="15621" width="10" style="108" customWidth="1"/>
    <col min="15622" max="15622" width="0.85546875" style="108" customWidth="1"/>
    <col min="15623" max="15623" width="12.42578125" style="108" customWidth="1"/>
    <col min="15624" max="15624" width="0.85546875" style="108" customWidth="1"/>
    <col min="15625" max="15625" width="13.7109375" style="108" customWidth="1"/>
    <col min="15626" max="15870" width="11.5703125" style="108"/>
    <col min="15871" max="15871" width="7.85546875" style="108" customWidth="1"/>
    <col min="15872" max="15872" width="24.5703125" style="108" customWidth="1"/>
    <col min="15873" max="15873" width="3.7109375" style="108" customWidth="1"/>
    <col min="15874" max="15874" width="4.85546875" style="108" customWidth="1"/>
    <col min="15875" max="15875" width="0.85546875" style="108" customWidth="1"/>
    <col min="15876" max="15876" width="9" style="108" customWidth="1"/>
    <col min="15877" max="15877" width="10" style="108" customWidth="1"/>
    <col min="15878" max="15878" width="0.85546875" style="108" customWidth="1"/>
    <col min="15879" max="15879" width="12.42578125" style="108" customWidth="1"/>
    <col min="15880" max="15880" width="0.85546875" style="108" customWidth="1"/>
    <col min="15881" max="15881" width="13.7109375" style="108" customWidth="1"/>
    <col min="15882" max="16126" width="11.5703125" style="108"/>
    <col min="16127" max="16127" width="7.85546875" style="108" customWidth="1"/>
    <col min="16128" max="16128" width="24.5703125" style="108" customWidth="1"/>
    <col min="16129" max="16129" width="3.7109375" style="108" customWidth="1"/>
    <col min="16130" max="16130" width="4.85546875" style="108" customWidth="1"/>
    <col min="16131" max="16131" width="0.85546875" style="108" customWidth="1"/>
    <col min="16132" max="16132" width="9" style="108" customWidth="1"/>
    <col min="16133" max="16133" width="10" style="108" customWidth="1"/>
    <col min="16134" max="16134" width="0.85546875" style="108" customWidth="1"/>
    <col min="16135" max="16135" width="12.42578125" style="108" customWidth="1"/>
    <col min="16136" max="16136" width="0.85546875" style="108" customWidth="1"/>
    <col min="16137" max="16137" width="13.7109375" style="108" customWidth="1"/>
    <col min="16138" max="16384" width="11.5703125" style="108"/>
  </cols>
  <sheetData>
    <row r="1" spans="1:13">
      <c r="A1" s="2"/>
    </row>
    <row r="2" spans="1:13">
      <c r="D2" s="115"/>
    </row>
    <row r="3" spans="1:13" s="109" customFormat="1" ht="33.75" customHeight="1">
      <c r="A3" s="297" t="s">
        <v>279</v>
      </c>
      <c r="B3" s="297"/>
      <c r="C3" s="297"/>
      <c r="D3" s="297"/>
      <c r="E3" s="297"/>
      <c r="F3" s="297"/>
      <c r="G3" s="297"/>
      <c r="H3" s="297"/>
      <c r="I3" s="297"/>
      <c r="J3" s="115"/>
    </row>
    <row r="6" spans="1:13">
      <c r="E6" s="300" t="s">
        <v>196</v>
      </c>
      <c r="F6" s="300"/>
      <c r="G6" s="300"/>
      <c r="H6" s="300"/>
      <c r="I6" s="300"/>
      <c r="J6" s="301" t="s">
        <v>202</v>
      </c>
      <c r="K6" s="95"/>
    </row>
    <row r="7" spans="1:13" s="111" customFormat="1" ht="38.25" customHeight="1">
      <c r="A7" s="164" t="s">
        <v>197</v>
      </c>
      <c r="B7" s="164" t="s">
        <v>198</v>
      </c>
      <c r="C7" s="164" t="s">
        <v>199</v>
      </c>
      <c r="D7" s="162" t="s">
        <v>200</v>
      </c>
      <c r="E7" s="164" t="s">
        <v>201</v>
      </c>
      <c r="F7" s="164" t="s">
        <v>294</v>
      </c>
      <c r="G7" s="15" t="s">
        <v>248</v>
      </c>
      <c r="H7" s="164" t="s">
        <v>249</v>
      </c>
      <c r="I7" s="259" t="s">
        <v>37</v>
      </c>
      <c r="J7" s="301"/>
      <c r="K7" s="116"/>
    </row>
    <row r="8" spans="1:13" s="111" customFormat="1">
      <c r="A8" s="70">
        <v>1</v>
      </c>
      <c r="B8" s="197" t="s">
        <v>230</v>
      </c>
      <c r="C8" s="70" t="s">
        <v>203</v>
      </c>
      <c r="D8" s="12">
        <f>'C6B'!D8</f>
        <v>1</v>
      </c>
      <c r="E8" s="159">
        <f>'C6B'!E8+'C6B'!E8*'C6C'!$E$49</f>
        <v>4256.5380000000005</v>
      </c>
      <c r="F8" s="159">
        <f>D8*E8</f>
        <v>4256.5380000000005</v>
      </c>
      <c r="G8" s="165">
        <f>'C6A'!G8</f>
        <v>1.8</v>
      </c>
      <c r="H8" s="159">
        <f t="shared" ref="H8:H31" si="0">E8*G8</f>
        <v>7661.7684000000008</v>
      </c>
      <c r="I8" s="159">
        <f>(H8*D8)+F8</f>
        <v>11918.306400000001</v>
      </c>
      <c r="J8" s="127">
        <f>I8*$E$48</f>
        <v>143019.67680000002</v>
      </c>
      <c r="K8" s="116"/>
    </row>
    <row r="9" spans="1:13" s="111" customFormat="1">
      <c r="A9" s="70">
        <v>1</v>
      </c>
      <c r="B9" s="197" t="s">
        <v>258</v>
      </c>
      <c r="C9" s="70" t="s">
        <v>203</v>
      </c>
      <c r="D9" s="12">
        <f>'C6B'!D9</f>
        <v>1</v>
      </c>
      <c r="E9" s="159">
        <f>'C6B'!E9+'C6B'!E9*'C6C'!$E$49</f>
        <v>1661.088</v>
      </c>
      <c r="F9" s="159">
        <f t="shared" ref="F9:F31" si="1">D9*E9</f>
        <v>1661.088</v>
      </c>
      <c r="G9" s="165">
        <f>'C6A'!G9</f>
        <v>1.8</v>
      </c>
      <c r="H9" s="159">
        <f t="shared" si="0"/>
        <v>2989.9584</v>
      </c>
      <c r="I9" s="159">
        <f t="shared" ref="I9:I31" si="2">(H9*D9)+F9</f>
        <v>4651.0464000000002</v>
      </c>
      <c r="J9" s="127">
        <f t="shared" ref="J9:J13" si="3">I9*$E$48</f>
        <v>55812.556800000006</v>
      </c>
      <c r="K9" s="116"/>
    </row>
    <row r="10" spans="1:13" s="111" customFormat="1">
      <c r="A10" s="70">
        <v>1</v>
      </c>
      <c r="B10" s="197" t="s">
        <v>259</v>
      </c>
      <c r="C10" s="70" t="s">
        <v>203</v>
      </c>
      <c r="D10" s="12">
        <f>'C6B'!D10</f>
        <v>1</v>
      </c>
      <c r="E10" s="159">
        <f>'C6B'!E10+'C6B'!E10*'C6C'!$E$49</f>
        <v>1661.088</v>
      </c>
      <c r="F10" s="159">
        <f t="shared" si="1"/>
        <v>1661.088</v>
      </c>
      <c r="G10" s="165">
        <f>'C6A'!G10</f>
        <v>1.8</v>
      </c>
      <c r="H10" s="159">
        <f t="shared" si="0"/>
        <v>2989.9584</v>
      </c>
      <c r="I10" s="159">
        <f t="shared" si="2"/>
        <v>4651.0464000000002</v>
      </c>
      <c r="J10" s="127">
        <f t="shared" si="3"/>
        <v>55812.556800000006</v>
      </c>
      <c r="K10" s="116"/>
    </row>
    <row r="11" spans="1:13" s="111" customFormat="1">
      <c r="A11" s="70">
        <v>1</v>
      </c>
      <c r="B11" s="197" t="s">
        <v>260</v>
      </c>
      <c r="C11" s="70" t="s">
        <v>203</v>
      </c>
      <c r="D11" s="12">
        <f>'C6B'!D11</f>
        <v>1</v>
      </c>
      <c r="E11" s="159">
        <f>'C6B'!E11+'C6B'!E11*'C6C'!$E$49</f>
        <v>1661.088</v>
      </c>
      <c r="F11" s="159">
        <f t="shared" si="1"/>
        <v>1661.088</v>
      </c>
      <c r="G11" s="165">
        <f>'C6A'!G11</f>
        <v>1.8</v>
      </c>
      <c r="H11" s="159">
        <f t="shared" si="0"/>
        <v>2989.9584</v>
      </c>
      <c r="I11" s="159">
        <f t="shared" si="2"/>
        <v>4651.0464000000002</v>
      </c>
      <c r="J11" s="127">
        <f t="shared" si="3"/>
        <v>55812.556800000006</v>
      </c>
      <c r="K11" s="116"/>
    </row>
    <row r="12" spans="1:13" s="111" customFormat="1">
      <c r="A12" s="70">
        <v>1</v>
      </c>
      <c r="B12" s="197" t="s">
        <v>215</v>
      </c>
      <c r="C12" s="70" t="s">
        <v>203</v>
      </c>
      <c r="D12" s="12">
        <f>'C6B'!D12</f>
        <v>1</v>
      </c>
      <c r="E12" s="159">
        <f>'C6B'!E12+'C6B'!E12*'C6C'!$E$49</f>
        <v>3737.4480000000003</v>
      </c>
      <c r="F12" s="159">
        <f t="shared" si="1"/>
        <v>3737.4480000000003</v>
      </c>
      <c r="G12" s="165">
        <f>'C6A'!G12</f>
        <v>1.8</v>
      </c>
      <c r="H12" s="159">
        <f t="shared" si="0"/>
        <v>6727.4064000000008</v>
      </c>
      <c r="I12" s="159">
        <f t="shared" si="2"/>
        <v>10464.8544</v>
      </c>
      <c r="J12" s="127">
        <f t="shared" si="3"/>
        <v>125578.2528</v>
      </c>
      <c r="K12" s="116"/>
    </row>
    <row r="13" spans="1:13" s="111" customFormat="1">
      <c r="A13" s="70">
        <v>1</v>
      </c>
      <c r="B13" s="197" t="s">
        <v>216</v>
      </c>
      <c r="C13" s="70" t="s">
        <v>203</v>
      </c>
      <c r="D13" s="12">
        <f>'C6B'!D13</f>
        <v>1</v>
      </c>
      <c r="E13" s="159">
        <f>'C6B'!E13+'C6B'!E13*'C6C'!$E$49</f>
        <v>3737.4480000000003</v>
      </c>
      <c r="F13" s="159">
        <f t="shared" si="1"/>
        <v>3737.4480000000003</v>
      </c>
      <c r="G13" s="165">
        <f>'C6A'!G13</f>
        <v>1.8</v>
      </c>
      <c r="H13" s="159">
        <f t="shared" si="0"/>
        <v>6727.4064000000008</v>
      </c>
      <c r="I13" s="159">
        <f t="shared" si="2"/>
        <v>10464.8544</v>
      </c>
      <c r="J13" s="127">
        <f t="shared" si="3"/>
        <v>125578.2528</v>
      </c>
      <c r="K13" s="116"/>
    </row>
    <row r="14" spans="1:13" s="111" customFormat="1">
      <c r="A14" s="65">
        <v>2</v>
      </c>
      <c r="B14" s="198" t="s">
        <v>213</v>
      </c>
      <c r="C14" s="12" t="s">
        <v>203</v>
      </c>
      <c r="D14" s="12">
        <f>'C6B'!D14</f>
        <v>1</v>
      </c>
      <c r="E14" s="159">
        <f>'C6B'!E14+'C6B'!E14*'C6C'!$E$49</f>
        <v>2662</v>
      </c>
      <c r="F14" s="159">
        <f t="shared" si="1"/>
        <v>2662</v>
      </c>
      <c r="G14" s="165">
        <f>'C6A'!G14</f>
        <v>1.8</v>
      </c>
      <c r="H14" s="159">
        <f t="shared" si="0"/>
        <v>4791.6000000000004</v>
      </c>
      <c r="I14" s="159">
        <f t="shared" si="2"/>
        <v>7453.6</v>
      </c>
      <c r="J14" s="127">
        <f t="shared" ref="J14:J30" si="4">I14*$E$48</f>
        <v>89443.200000000012</v>
      </c>
      <c r="K14" s="116"/>
    </row>
    <row r="15" spans="1:13" s="111" customFormat="1">
      <c r="A15" s="65">
        <v>2</v>
      </c>
      <c r="B15" s="198" t="s">
        <v>214</v>
      </c>
      <c r="C15" s="12" t="s">
        <v>203</v>
      </c>
      <c r="D15" s="12">
        <f>'C6B'!D15</f>
        <v>1</v>
      </c>
      <c r="E15" s="159">
        <f>'C6B'!E15+'C6B'!E15*'C6C'!$E$49</f>
        <v>1210</v>
      </c>
      <c r="F15" s="159">
        <f t="shared" si="1"/>
        <v>1210</v>
      </c>
      <c r="G15" s="165">
        <f>'C6A'!G15</f>
        <v>1.8</v>
      </c>
      <c r="H15" s="159">
        <f t="shared" si="0"/>
        <v>2178</v>
      </c>
      <c r="I15" s="159">
        <f t="shared" si="2"/>
        <v>3388</v>
      </c>
      <c r="J15" s="127">
        <f t="shared" si="4"/>
        <v>40656</v>
      </c>
      <c r="K15" s="116"/>
      <c r="L15" s="199"/>
      <c r="M15" s="199"/>
    </row>
    <row r="16" spans="1:13" s="111" customFormat="1">
      <c r="A16" s="65">
        <v>3</v>
      </c>
      <c r="B16" s="198" t="s">
        <v>217</v>
      </c>
      <c r="C16" s="12" t="s">
        <v>203</v>
      </c>
      <c r="D16" s="12">
        <f>'C6B'!D16</f>
        <v>2</v>
      </c>
      <c r="E16" s="159">
        <f>'C6B'!E16+'C6B'!E16*'C6C'!$E$49</f>
        <v>1452</v>
      </c>
      <c r="F16" s="159">
        <f t="shared" si="1"/>
        <v>2904</v>
      </c>
      <c r="G16" s="165">
        <f>'C6A'!G16</f>
        <v>1.8</v>
      </c>
      <c r="H16" s="159">
        <f t="shared" si="0"/>
        <v>2613.6</v>
      </c>
      <c r="I16" s="159">
        <f t="shared" si="2"/>
        <v>8131.2</v>
      </c>
      <c r="J16" s="127">
        <f t="shared" si="4"/>
        <v>97574.399999999994</v>
      </c>
      <c r="K16" s="116"/>
      <c r="L16" s="199"/>
      <c r="M16" s="199"/>
    </row>
    <row r="17" spans="1:13" s="111" customFormat="1">
      <c r="A17" s="65">
        <v>3</v>
      </c>
      <c r="B17" s="198" t="s">
        <v>218</v>
      </c>
      <c r="C17" s="12" t="s">
        <v>203</v>
      </c>
      <c r="D17" s="12">
        <f>'C6B'!D17</f>
        <v>4</v>
      </c>
      <c r="E17" s="159">
        <f>'C6B'!E17+'C6B'!E17*'C6C'!$E$49</f>
        <v>1197.9000000000001</v>
      </c>
      <c r="F17" s="159">
        <f t="shared" si="1"/>
        <v>4791.6000000000004</v>
      </c>
      <c r="G17" s="165">
        <f>'C6A'!G17</f>
        <v>1.8</v>
      </c>
      <c r="H17" s="159">
        <f t="shared" si="0"/>
        <v>2156.2200000000003</v>
      </c>
      <c r="I17" s="159">
        <f t="shared" si="2"/>
        <v>13416.480000000001</v>
      </c>
      <c r="J17" s="127">
        <f t="shared" si="4"/>
        <v>160997.76000000001</v>
      </c>
      <c r="K17" s="116"/>
      <c r="L17" s="199"/>
      <c r="M17" s="199"/>
    </row>
    <row r="18" spans="1:13" s="111" customFormat="1">
      <c r="A18" s="65">
        <v>4</v>
      </c>
      <c r="B18" s="198" t="s">
        <v>261</v>
      </c>
      <c r="C18" s="12" t="s">
        <v>203</v>
      </c>
      <c r="D18" s="12">
        <f>'C6B'!D18</f>
        <v>10</v>
      </c>
      <c r="E18" s="159">
        <f>'C6B'!E18+'C6B'!E18*'C6C'!$E$49</f>
        <v>1063.7836</v>
      </c>
      <c r="F18" s="159">
        <f t="shared" si="1"/>
        <v>10637.835999999999</v>
      </c>
      <c r="G18" s="165">
        <f>'C6A'!G18</f>
        <v>1.8</v>
      </c>
      <c r="H18" s="159">
        <f t="shared" si="0"/>
        <v>1914.8104800000001</v>
      </c>
      <c r="I18" s="159">
        <f t="shared" si="2"/>
        <v>29785.9408</v>
      </c>
      <c r="J18" s="127">
        <f t="shared" si="4"/>
        <v>357431.28960000002</v>
      </c>
      <c r="K18" s="116"/>
      <c r="L18" s="199"/>
      <c r="M18" s="199"/>
    </row>
    <row r="19" spans="1:13" s="111" customFormat="1">
      <c r="A19" s="65">
        <v>4</v>
      </c>
      <c r="B19" s="198" t="s">
        <v>262</v>
      </c>
      <c r="C19" s="12" t="s">
        <v>203</v>
      </c>
      <c r="D19" s="12">
        <f>'C6B'!D19</f>
        <v>8</v>
      </c>
      <c r="E19" s="159">
        <f>'C6B'!E19+'C6B'!E19*'C6C'!$E$49</f>
        <v>1144.6599999999999</v>
      </c>
      <c r="F19" s="159">
        <f t="shared" si="1"/>
        <v>9157.2799999999988</v>
      </c>
      <c r="G19" s="165">
        <f>'C6A'!G19</f>
        <v>1.8</v>
      </c>
      <c r="H19" s="159">
        <f t="shared" si="0"/>
        <v>2060.3879999999999</v>
      </c>
      <c r="I19" s="159">
        <f t="shared" si="2"/>
        <v>25640.383999999998</v>
      </c>
      <c r="J19" s="127">
        <f t="shared" si="4"/>
        <v>307684.60800000001</v>
      </c>
      <c r="K19" s="116"/>
      <c r="L19" s="199"/>
      <c r="M19" s="199"/>
    </row>
    <row r="20" spans="1:13" s="111" customFormat="1">
      <c r="A20" s="65">
        <v>3</v>
      </c>
      <c r="B20" s="198" t="s">
        <v>219</v>
      </c>
      <c r="C20" s="12" t="s">
        <v>203</v>
      </c>
      <c r="D20" s="12">
        <f>'C6B'!D20</f>
        <v>2</v>
      </c>
      <c r="E20" s="159">
        <f>'C6B'!E20+'C6B'!E20*'C6C'!$E$49</f>
        <v>1063.953</v>
      </c>
      <c r="F20" s="159">
        <f t="shared" si="1"/>
        <v>2127.9059999999999</v>
      </c>
      <c r="G20" s="165">
        <f>'C6A'!G20</f>
        <v>1.8</v>
      </c>
      <c r="H20" s="159">
        <f t="shared" si="0"/>
        <v>1915.1153999999999</v>
      </c>
      <c r="I20" s="159">
        <f t="shared" si="2"/>
        <v>5958.1368000000002</v>
      </c>
      <c r="J20" s="127">
        <f t="shared" si="4"/>
        <v>71497.641600000003</v>
      </c>
      <c r="K20" s="116"/>
    </row>
    <row r="21" spans="1:13" s="111" customFormat="1">
      <c r="A21" s="65">
        <v>2</v>
      </c>
      <c r="B21" s="198" t="s">
        <v>220</v>
      </c>
      <c r="C21" s="12" t="s">
        <v>203</v>
      </c>
      <c r="D21" s="12">
        <f>'C6B'!D21</f>
        <v>1</v>
      </c>
      <c r="E21" s="159">
        <f>'C6B'!E21+'C6B'!E21*'C6C'!$E$49</f>
        <v>1815</v>
      </c>
      <c r="F21" s="159">
        <f t="shared" si="1"/>
        <v>1815</v>
      </c>
      <c r="G21" s="165">
        <f>'C6A'!G21</f>
        <v>1.8</v>
      </c>
      <c r="H21" s="159">
        <f t="shared" si="0"/>
        <v>3267</v>
      </c>
      <c r="I21" s="159">
        <f t="shared" si="2"/>
        <v>5082</v>
      </c>
      <c r="J21" s="127">
        <f t="shared" si="4"/>
        <v>60984</v>
      </c>
      <c r="K21" s="116"/>
    </row>
    <row r="22" spans="1:13" s="111" customFormat="1">
      <c r="A22" s="65">
        <v>2</v>
      </c>
      <c r="B22" s="198" t="s">
        <v>221</v>
      </c>
      <c r="C22" s="12" t="s">
        <v>203</v>
      </c>
      <c r="D22" s="12">
        <f>'C6B'!D22</f>
        <v>1</v>
      </c>
      <c r="E22" s="159">
        <f>'C6B'!E22+'C6B'!E22*'C6C'!$E$49</f>
        <v>1661.088</v>
      </c>
      <c r="F22" s="159">
        <f t="shared" si="1"/>
        <v>1661.088</v>
      </c>
      <c r="G22" s="165">
        <f>'C6A'!G22</f>
        <v>1.8</v>
      </c>
      <c r="H22" s="159">
        <f t="shared" si="0"/>
        <v>2989.9584</v>
      </c>
      <c r="I22" s="159">
        <f t="shared" si="2"/>
        <v>4651.0464000000002</v>
      </c>
      <c r="J22" s="127">
        <f t="shared" si="4"/>
        <v>55812.556800000006</v>
      </c>
      <c r="K22" s="116"/>
    </row>
    <row r="23" spans="1:13" s="111" customFormat="1">
      <c r="A23" s="65">
        <v>2</v>
      </c>
      <c r="B23" s="198" t="s">
        <v>222</v>
      </c>
      <c r="C23" s="12" t="s">
        <v>203</v>
      </c>
      <c r="D23" s="12">
        <f>'C6B'!D23</f>
        <v>1</v>
      </c>
      <c r="E23" s="159">
        <f>'C6B'!E23+'C6B'!E23*'C6C'!$E$49</f>
        <v>1452</v>
      </c>
      <c r="F23" s="159">
        <f t="shared" si="1"/>
        <v>1452</v>
      </c>
      <c r="G23" s="165">
        <f>'C6A'!G23</f>
        <v>1.8</v>
      </c>
      <c r="H23" s="159">
        <f t="shared" si="0"/>
        <v>2613.6</v>
      </c>
      <c r="I23" s="159">
        <f t="shared" si="2"/>
        <v>4065.6</v>
      </c>
      <c r="J23" s="127">
        <f t="shared" si="4"/>
        <v>48787.199999999997</v>
      </c>
      <c r="K23" s="116"/>
    </row>
    <row r="24" spans="1:13" s="111" customFormat="1">
      <c r="A24" s="65">
        <v>2</v>
      </c>
      <c r="B24" s="198" t="s">
        <v>223</v>
      </c>
      <c r="C24" s="12" t="s">
        <v>203</v>
      </c>
      <c r="D24" s="12">
        <f>'C6B'!D24</f>
        <v>1</v>
      </c>
      <c r="E24" s="159">
        <f>'C6B'!E24+'C6B'!E24*'C6C'!$E$49</f>
        <v>1245.816</v>
      </c>
      <c r="F24" s="159">
        <f t="shared" si="1"/>
        <v>1245.816</v>
      </c>
      <c r="G24" s="165">
        <f>'C6A'!G24</f>
        <v>1.8</v>
      </c>
      <c r="H24" s="159">
        <f t="shared" si="0"/>
        <v>2242.4688000000001</v>
      </c>
      <c r="I24" s="159">
        <f t="shared" si="2"/>
        <v>3488.2848000000004</v>
      </c>
      <c r="J24" s="127">
        <f t="shared" si="4"/>
        <v>41859.417600000001</v>
      </c>
      <c r="K24" s="116"/>
    </row>
    <row r="25" spans="1:13">
      <c r="A25" s="65">
        <v>3</v>
      </c>
      <c r="B25" s="198" t="s">
        <v>229</v>
      </c>
      <c r="C25" s="12" t="s">
        <v>203</v>
      </c>
      <c r="D25" s="12">
        <f>'C6B'!D25</f>
        <v>3</v>
      </c>
      <c r="E25" s="159">
        <f>'C6B'!E25+'C6B'!E25*'C6C'!$E$49</f>
        <v>1063.7836</v>
      </c>
      <c r="F25" s="159">
        <f t="shared" si="1"/>
        <v>3191.3508000000002</v>
      </c>
      <c r="G25" s="165">
        <f>'C6A'!G25</f>
        <v>1.8</v>
      </c>
      <c r="H25" s="159">
        <f t="shared" si="0"/>
        <v>1914.8104800000001</v>
      </c>
      <c r="I25" s="159">
        <f t="shared" si="2"/>
        <v>8935.7822400000005</v>
      </c>
      <c r="J25" s="127">
        <f t="shared" si="4"/>
        <v>107229.38688000001</v>
      </c>
      <c r="K25" s="95"/>
    </row>
    <row r="26" spans="1:13">
      <c r="A26" s="65">
        <v>3</v>
      </c>
      <c r="B26" s="198" t="s">
        <v>224</v>
      </c>
      <c r="C26" s="12" t="s">
        <v>203</v>
      </c>
      <c r="D26" s="12">
        <f>'C6B'!D26</f>
        <v>3</v>
      </c>
      <c r="E26" s="159">
        <f>'C6B'!E26+'C6B'!E26*'C6C'!$E$49</f>
        <v>1331</v>
      </c>
      <c r="F26" s="159">
        <f t="shared" si="1"/>
        <v>3993</v>
      </c>
      <c r="G26" s="165">
        <f>'C6A'!G26</f>
        <v>1.8</v>
      </c>
      <c r="H26" s="159">
        <f t="shared" si="0"/>
        <v>2395.8000000000002</v>
      </c>
      <c r="I26" s="159">
        <f t="shared" si="2"/>
        <v>11180.400000000001</v>
      </c>
      <c r="J26" s="127">
        <f t="shared" si="4"/>
        <v>134164.80000000002</v>
      </c>
      <c r="K26" s="95"/>
    </row>
    <row r="27" spans="1:13">
      <c r="A27" s="65">
        <v>3</v>
      </c>
      <c r="B27" s="198" t="s">
        <v>225</v>
      </c>
      <c r="C27" s="12" t="s">
        <v>203</v>
      </c>
      <c r="D27" s="12">
        <f>'C6B'!D27</f>
        <v>2</v>
      </c>
      <c r="E27" s="159">
        <f>'C6B'!E27+'C6B'!E27*'C6C'!$E$49</f>
        <v>1210</v>
      </c>
      <c r="F27" s="159">
        <f t="shared" si="1"/>
        <v>2420</v>
      </c>
      <c r="G27" s="165">
        <f>'C6A'!G27</f>
        <v>1.8</v>
      </c>
      <c r="H27" s="159">
        <f t="shared" si="0"/>
        <v>2178</v>
      </c>
      <c r="I27" s="159">
        <f t="shared" si="2"/>
        <v>6776</v>
      </c>
      <c r="J27" s="127">
        <f t="shared" si="4"/>
        <v>81312</v>
      </c>
      <c r="K27" s="95"/>
    </row>
    <row r="28" spans="1:13">
      <c r="A28" s="65">
        <v>4</v>
      </c>
      <c r="B28" s="198" t="s">
        <v>226</v>
      </c>
      <c r="C28" s="12" t="s">
        <v>203</v>
      </c>
      <c r="D28" s="12">
        <f>'C6B'!D28</f>
        <v>10</v>
      </c>
      <c r="E28" s="159">
        <f>'C6B'!E28+'C6B'!E28*'C6C'!$E$49</f>
        <v>1112.1836000000001</v>
      </c>
      <c r="F28" s="159">
        <f t="shared" si="1"/>
        <v>11121.836000000001</v>
      </c>
      <c r="G28" s="165">
        <f>'C6A'!G28</f>
        <v>1.8</v>
      </c>
      <c r="H28" s="159">
        <f t="shared" si="0"/>
        <v>2001.9304800000002</v>
      </c>
      <c r="I28" s="159">
        <f t="shared" si="2"/>
        <v>31141.140800000001</v>
      </c>
      <c r="J28" s="127">
        <f t="shared" si="4"/>
        <v>373693.68960000004</v>
      </c>
      <c r="K28" s="95"/>
    </row>
    <row r="29" spans="1:13">
      <c r="A29" s="65">
        <v>4</v>
      </c>
      <c r="B29" s="198" t="s">
        <v>228</v>
      </c>
      <c r="C29" s="12" t="s">
        <v>203</v>
      </c>
      <c r="D29" s="12">
        <f>'C6B'!D29</f>
        <v>1</v>
      </c>
      <c r="E29" s="159">
        <f>'C6B'!E29+'C6B'!E29*'C6C'!$E$49</f>
        <v>1016.4</v>
      </c>
      <c r="F29" s="159">
        <f t="shared" si="1"/>
        <v>1016.4</v>
      </c>
      <c r="G29" s="165">
        <f>'C6A'!G29</f>
        <v>1.8</v>
      </c>
      <c r="H29" s="159">
        <f t="shared" si="0"/>
        <v>1829.52</v>
      </c>
      <c r="I29" s="159">
        <f t="shared" si="2"/>
        <v>2845.92</v>
      </c>
      <c r="J29" s="127">
        <f t="shared" si="4"/>
        <v>34151.040000000001</v>
      </c>
      <c r="K29" s="95"/>
    </row>
    <row r="30" spans="1:13">
      <c r="A30" s="65">
        <v>3</v>
      </c>
      <c r="B30" s="198" t="s">
        <v>227</v>
      </c>
      <c r="C30" s="12" t="s">
        <v>203</v>
      </c>
      <c r="D30" s="12">
        <f>'C6B'!D30</f>
        <v>1</v>
      </c>
      <c r="E30" s="159">
        <f>'C6B'!E30+'C6B'!E30*'C6C'!$E$49</f>
        <v>1633.5</v>
      </c>
      <c r="F30" s="159">
        <f t="shared" si="1"/>
        <v>1633.5</v>
      </c>
      <c r="G30" s="165">
        <f>'C6A'!G30</f>
        <v>1.8</v>
      </c>
      <c r="H30" s="159">
        <f t="shared" si="0"/>
        <v>2940.3</v>
      </c>
      <c r="I30" s="159">
        <f t="shared" si="2"/>
        <v>4573.8</v>
      </c>
      <c r="J30" s="127">
        <f t="shared" si="4"/>
        <v>54885.600000000006</v>
      </c>
      <c r="K30" s="95"/>
    </row>
    <row r="31" spans="1:13">
      <c r="A31" s="65">
        <v>3</v>
      </c>
      <c r="B31" s="198" t="s">
        <v>253</v>
      </c>
      <c r="C31" s="12" t="s">
        <v>204</v>
      </c>
      <c r="D31" s="12">
        <f>'C6B'!D31</f>
        <v>2</v>
      </c>
      <c r="E31" s="159">
        <f>'C6B'!E31+'C6B'!E31*'C6C'!$E$49</f>
        <v>726</v>
      </c>
      <c r="F31" s="159">
        <f t="shared" si="1"/>
        <v>1452</v>
      </c>
      <c r="G31" s="26">
        <f>'C6B'!G31</f>
        <v>1.8</v>
      </c>
      <c r="H31" s="159">
        <f t="shared" si="0"/>
        <v>1306.8</v>
      </c>
      <c r="I31" s="159">
        <f t="shared" si="2"/>
        <v>4065.6</v>
      </c>
      <c r="J31" s="127">
        <f>I31*$E$50</f>
        <v>12196.8</v>
      </c>
      <c r="K31" s="95"/>
    </row>
    <row r="32" spans="1:13" s="110" customFormat="1">
      <c r="A32" s="7"/>
      <c r="B32" s="163" t="s">
        <v>162</v>
      </c>
      <c r="C32" s="8"/>
      <c r="D32" s="8">
        <f>SUM(D8:D31)</f>
        <v>60</v>
      </c>
      <c r="E32" s="131">
        <f>SUM(E8:E31)</f>
        <v>40775.765800000001</v>
      </c>
      <c r="F32" s="131">
        <f>SUM(F8:F31)</f>
        <v>81207.310799999992</v>
      </c>
      <c r="G32" s="8"/>
      <c r="H32" s="131">
        <f>SUM(H8:H31)</f>
        <v>73396.378440000015</v>
      </c>
      <c r="I32" s="131">
        <f>SUM(I8:I31)</f>
        <v>227380.47024</v>
      </c>
      <c r="J32" s="131">
        <f>SUM(J8:J31)</f>
        <v>2691975.2428799998</v>
      </c>
      <c r="K32" s="115"/>
    </row>
    <row r="33" spans="1:11">
      <c r="B33" s="95"/>
      <c r="G33" s="5"/>
      <c r="H33" s="5"/>
      <c r="I33" s="5"/>
    </row>
    <row r="34" spans="1:11" ht="31.5">
      <c r="D34" s="202" t="s">
        <v>200</v>
      </c>
      <c r="E34" s="164" t="s">
        <v>249</v>
      </c>
      <c r="F34" s="15" t="s">
        <v>37</v>
      </c>
      <c r="G34" s="15" t="s">
        <v>202</v>
      </c>
      <c r="I34" s="108"/>
      <c r="J34" s="200"/>
    </row>
    <row r="35" spans="1:11">
      <c r="A35" s="65">
        <v>1</v>
      </c>
      <c r="B35" s="12" t="s">
        <v>205</v>
      </c>
      <c r="C35" s="12"/>
      <c r="D35" s="11">
        <f>SUMIF($A$8:$A$31,A35,$D$8:$D$31)</f>
        <v>6</v>
      </c>
      <c r="E35" s="127">
        <f>SUMIF($A$8:$A$31,A35,$H$8:$H$31)</f>
        <v>30086.456399999999</v>
      </c>
      <c r="F35" s="127">
        <f>SUMIF($A$8:$A$31,A35,$I$8:$I$31)</f>
        <v>46801.154399999999</v>
      </c>
      <c r="G35" s="127">
        <f>SUMIF($A$8:$A$31,A35,$J$8:$J$31)</f>
        <v>561613.85280000011</v>
      </c>
      <c r="I35" s="108"/>
      <c r="J35" s="200"/>
    </row>
    <row r="36" spans="1:11">
      <c r="A36" s="65">
        <v>2</v>
      </c>
      <c r="B36" s="12" t="s">
        <v>206</v>
      </c>
      <c r="C36" s="12"/>
      <c r="D36" s="11">
        <f>SUMIF($A$8:$A$31,A36,$D$8:$D$31)</f>
        <v>6</v>
      </c>
      <c r="E36" s="127">
        <f>SUMIF($A$8:$A$31,A36,$H$8:$H$31)</f>
        <v>18082.627199999999</v>
      </c>
      <c r="F36" s="127">
        <f>SUMIF($A$8:$A$31,A36,$I$8:$I$31)</f>
        <v>28128.531200000001</v>
      </c>
      <c r="G36" s="127">
        <f>SUMIF($A$8:$A$31,A36,$J$8:$J$31)</f>
        <v>337542.37440000003</v>
      </c>
      <c r="I36" s="108"/>
      <c r="J36" s="200"/>
    </row>
    <row r="37" spans="1:11">
      <c r="A37" s="65">
        <v>3</v>
      </c>
      <c r="B37" s="12" t="s">
        <v>207</v>
      </c>
      <c r="C37" s="12"/>
      <c r="D37" s="11">
        <f>SUMIF($A$8:$A$31,A37,$D$8:$D$31)</f>
        <v>19</v>
      </c>
      <c r="E37" s="127">
        <f>SUMIF($A$8:$A$31,A37,$H$8:$H$31)</f>
        <v>17420.645879999996</v>
      </c>
      <c r="F37" s="127">
        <f>SUMIF($A$8:$A$31,A37,$I$8:$I$31)</f>
        <v>63037.399040000004</v>
      </c>
      <c r="G37" s="127">
        <f>SUMIF($A$8:$A$31,A37,$J$8:$J$31)</f>
        <v>719858.38848000008</v>
      </c>
      <c r="I37" s="108"/>
      <c r="J37" s="200"/>
    </row>
    <row r="38" spans="1:11">
      <c r="A38" s="65">
        <v>4</v>
      </c>
      <c r="B38" s="12" t="s">
        <v>208</v>
      </c>
      <c r="C38" s="12"/>
      <c r="D38" s="11">
        <f>SUMIF($A$8:$A$31,A38,$D$8:$D$31)</f>
        <v>29</v>
      </c>
      <c r="E38" s="127">
        <f>SUMIF($A$8:$A$31,A38,$H$8:$H$31)</f>
        <v>7806.6489600000004</v>
      </c>
      <c r="F38" s="127">
        <f>SUMIF($A$8:$A$31,A38,$I$8:$I$31)</f>
        <v>89413.385599999994</v>
      </c>
      <c r="G38" s="127">
        <f>SUMIF($A$8:$A$31,A38,$J$8:$J$31)</f>
        <v>1072960.6272</v>
      </c>
      <c r="I38" s="108"/>
      <c r="J38" s="200"/>
    </row>
    <row r="39" spans="1:11" s="110" customFormat="1">
      <c r="A39" s="7"/>
      <c r="B39" s="163" t="s">
        <v>162</v>
      </c>
      <c r="C39" s="8"/>
      <c r="D39" s="13">
        <f>SUM(D35:D38)</f>
        <v>60</v>
      </c>
      <c r="E39" s="131">
        <f>SUM(E35:E38)</f>
        <v>73396.37844</v>
      </c>
      <c r="F39" s="131">
        <f>SUM(F35:F38)</f>
        <v>227380.47024</v>
      </c>
      <c r="G39" s="131">
        <f>SUM(G35:G38)</f>
        <v>2691975.2428800003</v>
      </c>
      <c r="H39" s="2"/>
      <c r="J39" s="201"/>
    </row>
    <row r="40" spans="1:11">
      <c r="G40" s="5"/>
      <c r="H40" s="5"/>
      <c r="I40" s="5"/>
    </row>
    <row r="41" spans="1:11" ht="31.5">
      <c r="D41" s="202" t="s">
        <v>200</v>
      </c>
      <c r="E41" s="203" t="s">
        <v>298</v>
      </c>
      <c r="F41" s="203" t="s">
        <v>299</v>
      </c>
      <c r="G41" s="211" t="s">
        <v>300</v>
      </c>
      <c r="H41" s="211" t="s">
        <v>202</v>
      </c>
      <c r="J41" s="108"/>
      <c r="K41" s="200"/>
    </row>
    <row r="42" spans="1:11">
      <c r="B42" s="9" t="s">
        <v>209</v>
      </c>
      <c r="C42" s="65" t="s">
        <v>203</v>
      </c>
      <c r="D42" s="138">
        <f>SUMIF(C8:C31,C42,D8:D31)</f>
        <v>58</v>
      </c>
      <c r="E42" s="151">
        <f>SUMIF(C8:C31,C42,F8:F31)</f>
        <v>79755.310799999992</v>
      </c>
      <c r="F42" s="127">
        <f>SUMIF(C8:C31,C42,H8:H31)</f>
        <v>72089.578440000012</v>
      </c>
      <c r="G42" s="127">
        <f>SUMIF(C8:C31,C42,I8:I31)</f>
        <v>223314.87023999999</v>
      </c>
      <c r="H42" s="127">
        <f>SUMIF(C8:C31,C42,J8:J31)</f>
        <v>2679778.44288</v>
      </c>
      <c r="J42" s="108"/>
      <c r="K42" s="200"/>
    </row>
    <row r="43" spans="1:11">
      <c r="B43" s="9" t="s">
        <v>210</v>
      </c>
      <c r="C43" s="65" t="s">
        <v>204</v>
      </c>
      <c r="D43" s="138">
        <f>SUMIF(C8:C31,C43,D8:D31)</f>
        <v>2</v>
      </c>
      <c r="E43" s="151">
        <f>SUMIF(C8:C31,C43,F8:F31)</f>
        <v>1452</v>
      </c>
      <c r="F43" s="127">
        <f>SUMIF(C8:C31,C43,H8:H31)</f>
        <v>1306.8</v>
      </c>
      <c r="G43" s="127">
        <f>SUMIF(C8:C31,C43,I8:I31)</f>
        <v>4065.6</v>
      </c>
      <c r="H43" s="127">
        <f>SUMIF(C8:C31,C43,J8:J31)</f>
        <v>12196.8</v>
      </c>
      <c r="J43" s="108"/>
      <c r="K43" s="200"/>
    </row>
    <row r="44" spans="1:11" s="110" customFormat="1">
      <c r="A44" s="2"/>
      <c r="B44" s="163" t="s">
        <v>162</v>
      </c>
      <c r="C44" s="7"/>
      <c r="D44" s="137">
        <f>SUM(D42:D43)</f>
        <v>60</v>
      </c>
      <c r="E44" s="131">
        <f>SUM(E42:E43)</f>
        <v>81207.310799999992</v>
      </c>
      <c r="F44" s="131">
        <f>SUM(F42:F43)</f>
        <v>73396.378440000015</v>
      </c>
      <c r="G44" s="131">
        <f>SUM(G42:G43)</f>
        <v>227380.47024</v>
      </c>
      <c r="H44" s="131">
        <f>SUM(H42:H43)</f>
        <v>2691975.2428799998</v>
      </c>
      <c r="I44" s="2"/>
      <c r="K44" s="201"/>
    </row>
    <row r="45" spans="1:11">
      <c r="E45" s="5"/>
      <c r="F45" s="5"/>
      <c r="H45" s="108"/>
      <c r="I45" s="108"/>
      <c r="J45" s="200"/>
    </row>
    <row r="46" spans="1:11">
      <c r="B46" s="2" t="s">
        <v>95</v>
      </c>
      <c r="H46" s="108"/>
      <c r="I46" s="108"/>
      <c r="J46" s="200"/>
    </row>
    <row r="47" spans="1:11">
      <c r="B47" s="3" t="s">
        <v>248</v>
      </c>
      <c r="E47" s="4">
        <v>1.8</v>
      </c>
      <c r="F47" s="4"/>
      <c r="G47" s="3" t="s">
        <v>252</v>
      </c>
    </row>
    <row r="48" spans="1:11">
      <c r="B48" s="3" t="s">
        <v>23</v>
      </c>
      <c r="E48" s="3">
        <v>12</v>
      </c>
      <c r="G48" s="3" t="s">
        <v>24</v>
      </c>
    </row>
    <row r="49" spans="2:12">
      <c r="B49" s="3" t="s">
        <v>211</v>
      </c>
      <c r="E49" s="4">
        <v>0.1</v>
      </c>
      <c r="F49" s="4"/>
      <c r="G49" s="3" t="s">
        <v>212</v>
      </c>
    </row>
    <row r="50" spans="2:12" s="3" customFormat="1">
      <c r="B50" s="3" t="s">
        <v>254</v>
      </c>
      <c r="D50" s="95"/>
      <c r="E50" s="3">
        <v>3</v>
      </c>
      <c r="J50" s="95"/>
      <c r="K50" s="108"/>
      <c r="L50" s="108"/>
    </row>
    <row r="51" spans="2:12" ht="30.6" customHeight="1">
      <c r="B51" s="302" t="s">
        <v>277</v>
      </c>
      <c r="C51" s="302"/>
      <c r="D51" s="302"/>
      <c r="E51" s="302"/>
      <c r="F51" s="302"/>
      <c r="G51" s="302"/>
    </row>
    <row r="53" spans="2:12">
      <c r="B53" s="204"/>
    </row>
    <row r="54" spans="2:12">
      <c r="B54" s="204"/>
    </row>
    <row r="55" spans="2:12">
      <c r="B55" s="204"/>
    </row>
    <row r="56" spans="2:12">
      <c r="B56" s="204"/>
    </row>
    <row r="57" spans="2:12">
      <c r="B57" s="204"/>
    </row>
    <row r="58" spans="2:12">
      <c r="B58" s="204"/>
    </row>
    <row r="59" spans="2:12">
      <c r="B59" s="204"/>
    </row>
    <row r="61" spans="2:12">
      <c r="E61" s="95"/>
    </row>
  </sheetData>
  <mergeCells count="4">
    <mergeCell ref="A3:I3"/>
    <mergeCell ref="J6:J7"/>
    <mergeCell ref="B51:G51"/>
    <mergeCell ref="E6:I6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C1</vt:lpstr>
      <vt:lpstr>C2a</vt:lpstr>
      <vt:lpstr>C2b</vt:lpstr>
      <vt:lpstr>C3</vt:lpstr>
      <vt:lpstr>C4</vt:lpstr>
      <vt:lpstr>C5</vt:lpstr>
      <vt:lpstr>C6A</vt:lpstr>
      <vt:lpstr>C6B</vt:lpstr>
      <vt:lpstr>C6C</vt:lpstr>
      <vt:lpstr>C6D</vt:lpstr>
      <vt:lpstr>C6E</vt:lpstr>
      <vt:lpstr>C6F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Yalel Nasser</dc:creator>
  <cp:lastModifiedBy>JOSE GREGORIO ZACARIAS VASQUEZ</cp:lastModifiedBy>
  <dcterms:created xsi:type="dcterms:W3CDTF">2009-07-22T07:04:20Z</dcterms:created>
  <dcterms:modified xsi:type="dcterms:W3CDTF">2009-09-01T11:32:22Z</dcterms:modified>
</cp:coreProperties>
</file>